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IP\2024-26\ROP 2024-26\"/>
    </mc:Choice>
  </mc:AlternateContent>
  <xr:revisionPtr revIDLastSave="0" documentId="13_ncr:1_{F1389A42-9EBB-4509-9FB2-AA16EE62D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olwise ROP 2024-25" sheetId="115" r:id="rId1"/>
    <sheet name="RE 2024-25" sheetId="137" r:id="rId2"/>
    <sheet name="State &amp; Dist ROP Final" sheetId="133" r:id="rId3"/>
    <sheet name="RCH" sheetId="7" r:id="rId4"/>
    <sheet name="RKSK &amp; SHP" sheetId="100" r:id="rId5"/>
    <sheet name="RBSK" sheetId="102" r:id="rId6"/>
    <sheet name="EPI" sheetId="101" r:id="rId7"/>
    <sheet name="PNDT" sheetId="13" r:id="rId8"/>
    <sheet name="RM OE" sheetId="123" r:id="rId9"/>
    <sheet name="NIDDCP" sheetId="85" r:id="rId10"/>
    <sheet name="CPHC" sheetId="90" r:id="rId11"/>
    <sheet name="CP &amp; Untied Funds" sheetId="124" r:id="rId12"/>
    <sheet name="CEA " sheetId="88" r:id="rId13"/>
    <sheet name="Training" sheetId="131" r:id="rId14"/>
    <sheet name="IEC" sheetId="89" r:id="rId15"/>
    <sheet name="MMU" sheetId="23" r:id="rId16"/>
    <sheet name="NAS" sheetId="22" r:id="rId17"/>
    <sheet name="QA" sheetId="110" r:id="rId18"/>
    <sheet name="M&amp;E" sheetId="54" r:id="rId19"/>
    <sheet name="BMMP" sheetId="10" r:id="rId20"/>
    <sheet name="FDSI" sheetId="126" r:id="rId21"/>
    <sheet name="FDI" sheetId="127" r:id="rId22"/>
    <sheet name="DVDMS" sheetId="128" r:id="rId23"/>
    <sheet name="SBP" sheetId="135" r:id="rId24"/>
    <sheet name="S&amp;DHAP" sheetId="120" r:id="rId25"/>
    <sheet name="SBC" sheetId="81" r:id="rId26"/>
    <sheet name="Grievance" sheetId="107" r:id="rId27"/>
    <sheet name="IDSP" sheetId="75" r:id="rId28"/>
    <sheet name="NVBDCP" sheetId="136" r:id="rId29"/>
    <sheet name="NLEP" sheetId="86" r:id="rId30"/>
    <sheet name="NTEP" sheetId="122" r:id="rId31"/>
    <sheet name="NVHCP" sheetId="106" r:id="rId32"/>
    <sheet name="NRCP" sheetId="87" r:id="rId33"/>
    <sheet name="NPCB&amp;VI" sheetId="83" r:id="rId34"/>
    <sheet name="NMHP" sheetId="21" r:id="rId35"/>
    <sheet name="NPHCE" sheetId="80" r:id="rId36"/>
    <sheet name="NTCP" sheetId="119" r:id="rId37"/>
    <sheet name="NPCDCS" sheetId="125" r:id="rId38"/>
    <sheet name="PMNDP" sheetId="112" r:id="rId39"/>
    <sheet name="Climate Change" sheetId="130" r:id="rId40"/>
    <sheet name="NOHP" sheetId="93" r:id="rId41"/>
    <sheet name="NPPC" sheetId="95" r:id="rId42"/>
    <sheet name="NPPCD" sheetId="94" r:id="rId43"/>
    <sheet name="NUHM" sheetId="121" r:id="rId44"/>
  </sheets>
  <definedNames>
    <definedName name="_xlnm._FilterDatabase" localSheetId="19" hidden="1">BMMP!$A$2:$T$4</definedName>
    <definedName name="_xlnm._FilterDatabase" localSheetId="12" hidden="1">'CEA '!$A$2:$T$6</definedName>
    <definedName name="_xlnm._FilterDatabase" localSheetId="39" hidden="1">'Climate Change'!$A$2:$H$16</definedName>
    <definedName name="_xlnm._FilterDatabase" localSheetId="11" hidden="1">'CP &amp; Untied Funds'!$A$3:$Q$26</definedName>
    <definedName name="_xlnm._FilterDatabase" localSheetId="10" hidden="1">CPHC!$A$3:$Q$19</definedName>
    <definedName name="_xlnm._FilterDatabase" localSheetId="22" hidden="1">DVDMS!$A$2:$T$4</definedName>
    <definedName name="_xlnm._FilterDatabase" localSheetId="6" hidden="1">EPI!$A$3:$Q$37</definedName>
    <definedName name="_xlnm._FilterDatabase" localSheetId="21" hidden="1">FDI!$A$2:$T$4</definedName>
    <definedName name="_xlnm._FilterDatabase" localSheetId="20" hidden="1">FDSI!$A$2:$T$4</definedName>
    <definedName name="_xlnm._FilterDatabase" localSheetId="26" hidden="1">Grievance!$A$2:$T$4</definedName>
    <definedName name="_xlnm._FilterDatabase" localSheetId="27" hidden="1">IDSP!$A$2:$S$2</definedName>
    <definedName name="_xlnm._FilterDatabase" localSheetId="14" hidden="1">IEC!$A$2:$S$2</definedName>
    <definedName name="_xlnm._FilterDatabase" localSheetId="18" hidden="1">'M&amp;E'!$A$3:$Q$13</definedName>
    <definedName name="_xlnm._FilterDatabase" localSheetId="9" hidden="1">NIDDCP!$A$3:$Q$10</definedName>
    <definedName name="_xlnm._FilterDatabase" localSheetId="29" hidden="1">NLEP!$A$3:$Q$20</definedName>
    <definedName name="_xlnm._FilterDatabase" localSheetId="34" hidden="1">NMHP!$A$3:$Q$16</definedName>
    <definedName name="_xlnm._FilterDatabase" localSheetId="40" hidden="1">NOHP!$A$3:$Q$11</definedName>
    <definedName name="_xlnm._FilterDatabase" localSheetId="33" hidden="1">'NPCB&amp;VI'!$A$3:$Q$18</definedName>
    <definedName name="_xlnm._FilterDatabase" localSheetId="37" hidden="1">NPCDCS!$A$3:$Q$34</definedName>
    <definedName name="_xlnm._FilterDatabase" localSheetId="35" hidden="1">NPHCE!$A$3:$Q$9</definedName>
    <definedName name="_xlnm._FilterDatabase" localSheetId="41" hidden="1">NPPC!$A$3:$Q$14</definedName>
    <definedName name="_xlnm._FilterDatabase" localSheetId="42" hidden="1">NPPCD!$A$3:$Q$3</definedName>
    <definedName name="_xlnm._FilterDatabase" localSheetId="32" hidden="1">NRCP!$A$2:$S$2</definedName>
    <definedName name="_xlnm._FilterDatabase" localSheetId="36" hidden="1">NTCP!$A$3:$Q$19</definedName>
    <definedName name="_xlnm._FilterDatabase" localSheetId="30" hidden="1">NTEP!$A$3:$Q$47</definedName>
    <definedName name="_xlnm._FilterDatabase" localSheetId="43" hidden="1">NUHM!$A$3:$Q$43</definedName>
    <definedName name="_xlnm._FilterDatabase" localSheetId="28" hidden="1">NVBDCP!$A$3:$Q$50</definedName>
    <definedName name="_xlnm._FilterDatabase" localSheetId="31" hidden="1">NVHCP!$A$3:$Q$18</definedName>
    <definedName name="_xlnm._FilterDatabase" localSheetId="38" hidden="1">PMNDP!$A$2:$T$6</definedName>
    <definedName name="_xlnm._FilterDatabase" localSheetId="7" hidden="1">PNDT!$A$3:$Q$3</definedName>
    <definedName name="_xlnm._FilterDatabase" localSheetId="17" hidden="1">QA!$A$3:$Q$17</definedName>
    <definedName name="_xlnm._FilterDatabase" localSheetId="5" hidden="1">RBSK!$A$3:$Q$23</definedName>
    <definedName name="_xlnm._FilterDatabase" localSheetId="3" hidden="1">RCH!$A$3:$Q$127</definedName>
    <definedName name="_xlnm._FilterDatabase" localSheetId="4" hidden="1">'RKSK &amp; SHP'!$A$3:$M$27</definedName>
    <definedName name="_xlnm._FilterDatabase" localSheetId="8" hidden="1">'RM OE'!$A$3:$Q$3</definedName>
    <definedName name="_xlnm._FilterDatabase" localSheetId="24" hidden="1">'S&amp;DHAP'!$A$3:$Q$5</definedName>
    <definedName name="_xlnm._FilterDatabase" localSheetId="25" hidden="1">SBC!$A$3:$Q$14</definedName>
    <definedName name="_xlnm._FilterDatabase" localSheetId="23" hidden="1">SBP!$A$2:$T$6</definedName>
    <definedName name="_xlnm._FilterDatabase" localSheetId="13" hidden="1">Training!$A$2:$T$4</definedName>
    <definedName name="_GoBack" localSheetId="41">NPPC!#REF!</definedName>
    <definedName name="_xlnm.Print_Area" localSheetId="19">BMMP!$A$1:$Q$4</definedName>
    <definedName name="_xlnm.Print_Area" localSheetId="12">'CEA '!$A$1:$Q$6</definedName>
    <definedName name="_xlnm.Print_Area" localSheetId="39">'Climate Change'!$A$1:$Q$16</definedName>
    <definedName name="_xlnm.Print_Area" localSheetId="11">'CP &amp; Untied Funds'!$A$1:$Q$24</definedName>
    <definedName name="_xlnm.Print_Area" localSheetId="10">CPHC!$A$1:$Q$19</definedName>
    <definedName name="_xlnm.Print_Area" localSheetId="22">DVDMS!$A$1:$Q$4</definedName>
    <definedName name="_xlnm.Print_Area" localSheetId="6">EPI!$A$1:$Q$37</definedName>
    <definedName name="_xlnm.Print_Area" localSheetId="21">FDI!$A$1:$Q$4</definedName>
    <definedName name="_xlnm.Print_Area" localSheetId="20">FDSI!$A$1:$Q$4</definedName>
    <definedName name="_xlnm.Print_Area" localSheetId="26">Grievance!$A$1:$Q$4</definedName>
    <definedName name="_xlnm.Print_Area" localSheetId="27">IDSP!$A$1:$Q$9</definedName>
    <definedName name="_xlnm.Print_Area" localSheetId="14">IEC!$A$1:$Q$11</definedName>
    <definedName name="_xlnm.Print_Area" localSheetId="18">'M&amp;E'!$A$1:$Q$13</definedName>
    <definedName name="_xlnm.Print_Area" localSheetId="15">MMU!$A$1:$Q$4</definedName>
    <definedName name="_xlnm.Print_Area" localSheetId="16">NAS!$A$1:$Q$5</definedName>
    <definedName name="_xlnm.Print_Area" localSheetId="9">NIDDCP!$A$1:$Q$10</definedName>
    <definedName name="_xlnm.Print_Area" localSheetId="29">NLEP!$A$1:$Q$20</definedName>
    <definedName name="_xlnm.Print_Area" localSheetId="34">NMHP!$A$1:$Q$16</definedName>
    <definedName name="_xlnm.Print_Area" localSheetId="40">NOHP!$A$1:$Q$11</definedName>
    <definedName name="_xlnm.Print_Area" localSheetId="33">'NPCB&amp;VI'!$A$1:$Q$18</definedName>
    <definedName name="_xlnm.Print_Area" localSheetId="37">NPCDCS!$A$1:$Q$34</definedName>
    <definedName name="_xlnm.Print_Area" localSheetId="35">NPHCE!$A$1:$Q$9</definedName>
    <definedName name="_xlnm.Print_Area" localSheetId="41">NPPC!$A$1:$Q$14</definedName>
    <definedName name="_xlnm.Print_Area" localSheetId="42">NPPCD!$A$1:$Q$7</definedName>
    <definedName name="_xlnm.Print_Area" localSheetId="32">NRCP!$A$1:$Q$6</definedName>
    <definedName name="_xlnm.Print_Area" localSheetId="36">NTCP!$A$1:$Q$19</definedName>
    <definedName name="_xlnm.Print_Area" localSheetId="30">NTEP!$A$1:$Q$47</definedName>
    <definedName name="_xlnm.Print_Area" localSheetId="43">NUHM!$A$1:$Q$59</definedName>
    <definedName name="_xlnm.Print_Area" localSheetId="28">NVBDCP!$A$1:$Q$50</definedName>
    <definedName name="_xlnm.Print_Area" localSheetId="31">NVHCP!$A$1:$Q$18</definedName>
    <definedName name="_xlnm.Print_Area" localSheetId="38">PMNDP!$A$1:$Q$6</definedName>
    <definedName name="_xlnm.Print_Area" localSheetId="7">PNDT!$A$1:$Q$7</definedName>
    <definedName name="_xlnm.Print_Area" localSheetId="0">'Poolwise ROP 2024-25'!$A$1:$G$42</definedName>
    <definedName name="_xlnm.Print_Area" localSheetId="5">RBSK!$A$1:$Q$23</definedName>
    <definedName name="_xlnm.Print_Area" localSheetId="3">RCH!$A$1:$Q$127</definedName>
    <definedName name="_xlnm.Print_Area" localSheetId="1">'RE 2024-25'!$A$1:$G$17</definedName>
    <definedName name="_xlnm.Print_Area" localSheetId="4">'RKSK &amp; SHP'!$A$1:$Q$27</definedName>
    <definedName name="_xlnm.Print_Area" localSheetId="8">'RM OE'!$A$1:$Q$8</definedName>
    <definedName name="_xlnm.Print_Area" localSheetId="24">'S&amp;DHAP'!$A$1:$Q$5</definedName>
    <definedName name="_xlnm.Print_Area" localSheetId="25">SBC!$A$1:$Q$14</definedName>
    <definedName name="_xlnm.Print_Area" localSheetId="23">SBP!$A$1:$Q$6</definedName>
    <definedName name="_xlnm.Print_Area" localSheetId="2">'State &amp; Dist ROP Final'!$A$1:$M$49</definedName>
    <definedName name="_xlnm.Print_Area" localSheetId="13">Training!$A$1:$Q$4</definedName>
    <definedName name="_xlnm.Print_Titles" localSheetId="28">NVBDCP!$1:$3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15" l="1"/>
  <c r="H15" i="86" l="1"/>
  <c r="D41" i="115" l="1"/>
  <c r="C14" i="137"/>
  <c r="C12" i="137"/>
  <c r="G13" i="137"/>
  <c r="G11" i="137"/>
  <c r="D27" i="133" l="1"/>
  <c r="E27" i="133"/>
  <c r="F27" i="133"/>
  <c r="G27" i="133"/>
  <c r="H27" i="133"/>
  <c r="I27" i="133"/>
  <c r="J27" i="133"/>
  <c r="K27" i="133"/>
  <c r="L27" i="133"/>
  <c r="M27" i="133"/>
  <c r="C27" i="133"/>
  <c r="D27" i="115" s="1"/>
  <c r="P37" i="136"/>
  <c r="O37" i="136"/>
  <c r="N37" i="136"/>
  <c r="M37" i="136"/>
  <c r="G49" i="136"/>
  <c r="G36" i="136"/>
  <c r="G35" i="136"/>
  <c r="G34" i="136"/>
  <c r="G48" i="136"/>
  <c r="G33" i="136"/>
  <c r="G32" i="136"/>
  <c r="G31" i="136"/>
  <c r="Q30" i="136"/>
  <c r="P30" i="136"/>
  <c r="O30" i="136"/>
  <c r="N30" i="136"/>
  <c r="M30" i="136"/>
  <c r="L30" i="136"/>
  <c r="K30" i="136"/>
  <c r="J30" i="136"/>
  <c r="I30" i="136"/>
  <c r="H30" i="136"/>
  <c r="G29" i="136"/>
  <c r="G28" i="136"/>
  <c r="G27" i="136"/>
  <c r="G47" i="136"/>
  <c r="G26" i="136"/>
  <c r="G25" i="136"/>
  <c r="G24" i="136"/>
  <c r="E24" i="136"/>
  <c r="C24" i="136"/>
  <c r="B24" i="136"/>
  <c r="A24" i="136"/>
  <c r="G23" i="136"/>
  <c r="G22" i="136"/>
  <c r="G21" i="136"/>
  <c r="G38" i="136"/>
  <c r="G20" i="136"/>
  <c r="G46" i="136"/>
  <c r="G45" i="136"/>
  <c r="G44" i="136"/>
  <c r="G43" i="136"/>
  <c r="G19" i="136"/>
  <c r="G18" i="136"/>
  <c r="G17" i="136"/>
  <c r="G16" i="136"/>
  <c r="G15" i="136"/>
  <c r="G14" i="136"/>
  <c r="G13" i="136"/>
  <c r="G12" i="136"/>
  <c r="G11" i="136"/>
  <c r="Q10" i="136"/>
  <c r="P10" i="136"/>
  <c r="O10" i="136"/>
  <c r="N10" i="136"/>
  <c r="M10" i="136"/>
  <c r="L10" i="136"/>
  <c r="K10" i="136"/>
  <c r="J10" i="136"/>
  <c r="I10" i="136"/>
  <c r="H10" i="136"/>
  <c r="G42" i="136"/>
  <c r="G41" i="136"/>
  <c r="G40" i="136"/>
  <c r="G9" i="136"/>
  <c r="G8" i="136"/>
  <c r="Q7" i="136"/>
  <c r="P7" i="136"/>
  <c r="O7" i="136"/>
  <c r="N7" i="136"/>
  <c r="M7" i="136"/>
  <c r="K7" i="136"/>
  <c r="J7" i="136"/>
  <c r="J50" i="136" s="1"/>
  <c r="I7" i="136"/>
  <c r="H7" i="136"/>
  <c r="E7" i="136"/>
  <c r="C7" i="136"/>
  <c r="B7" i="136"/>
  <c r="A7" i="136"/>
  <c r="H6" i="136"/>
  <c r="G6" i="136" s="1"/>
  <c r="G5" i="136"/>
  <c r="G39" i="136"/>
  <c r="G4" i="136"/>
  <c r="M50" i="136" l="1"/>
  <c r="G30" i="136"/>
  <c r="G7" i="136"/>
  <c r="O50" i="136"/>
  <c r="L50" i="136"/>
  <c r="Q50" i="136"/>
  <c r="I50" i="136"/>
  <c r="P50" i="136"/>
  <c r="G37" i="136"/>
  <c r="G10" i="136"/>
  <c r="G50" i="136" s="1"/>
  <c r="N50" i="136"/>
  <c r="K50" i="136"/>
  <c r="H50" i="136"/>
  <c r="Q12" i="90" l="1"/>
  <c r="P12" i="90"/>
  <c r="O12" i="90"/>
  <c r="N12" i="90"/>
  <c r="M12" i="90"/>
  <c r="L12" i="90"/>
  <c r="K12" i="90"/>
  <c r="J12" i="90"/>
  <c r="I12" i="90"/>
  <c r="N4" i="90" l="1"/>
  <c r="K4" i="90"/>
  <c r="J4" i="90"/>
  <c r="M47" i="133" l="1"/>
  <c r="L47" i="133"/>
  <c r="K47" i="133"/>
  <c r="J47" i="133"/>
  <c r="I47" i="133"/>
  <c r="H47" i="133"/>
  <c r="G47" i="133"/>
  <c r="F47" i="133"/>
  <c r="E47" i="133"/>
  <c r="D15" i="133" l="1"/>
  <c r="N21" i="121" l="1"/>
  <c r="L21" i="121"/>
  <c r="K21" i="121"/>
  <c r="J21" i="121"/>
  <c r="I21" i="121"/>
  <c r="Q13" i="110" l="1"/>
  <c r="P13" i="110"/>
  <c r="N13" i="110"/>
  <c r="M13" i="110"/>
  <c r="L13" i="110"/>
  <c r="K13" i="110"/>
  <c r="J13" i="110"/>
  <c r="I13" i="110"/>
  <c r="Q11" i="110"/>
  <c r="P11" i="110"/>
  <c r="O11" i="110"/>
  <c r="N11" i="110"/>
  <c r="M11" i="110"/>
  <c r="L11" i="110"/>
  <c r="K11" i="110"/>
  <c r="J11" i="110"/>
  <c r="I11" i="110"/>
  <c r="Q10" i="110"/>
  <c r="P10" i="110"/>
  <c r="O10" i="110"/>
  <c r="N10" i="110"/>
  <c r="M10" i="110"/>
  <c r="L10" i="110"/>
  <c r="K10" i="110"/>
  <c r="J10" i="110"/>
  <c r="I10" i="110"/>
  <c r="G18" i="106" l="1"/>
  <c r="H18" i="106"/>
  <c r="I18" i="106"/>
  <c r="J18" i="106"/>
  <c r="K18" i="106"/>
  <c r="L18" i="106"/>
  <c r="M18" i="106"/>
  <c r="N18" i="106"/>
  <c r="O18" i="106"/>
  <c r="P18" i="106"/>
  <c r="Q18" i="106"/>
  <c r="G16" i="106"/>
  <c r="G17" i="106"/>
  <c r="G10" i="106"/>
  <c r="G18" i="102" l="1"/>
  <c r="G5" i="102"/>
  <c r="H8" i="93" l="1"/>
  <c r="H7" i="93"/>
  <c r="G124" i="7" l="1"/>
  <c r="G126" i="7"/>
  <c r="G4" i="112"/>
  <c r="H6" i="112"/>
  <c r="I6" i="112"/>
  <c r="J6" i="112"/>
  <c r="K6" i="112"/>
  <c r="L6" i="112"/>
  <c r="M6" i="112"/>
  <c r="N6" i="112"/>
  <c r="O6" i="112"/>
  <c r="P6" i="112"/>
  <c r="Q6" i="112"/>
  <c r="G5" i="112"/>
  <c r="H6" i="135" l="1"/>
  <c r="D21" i="133" s="1"/>
  <c r="I6" i="135"/>
  <c r="E21" i="133" s="1"/>
  <c r="J6" i="135"/>
  <c r="F21" i="133" s="1"/>
  <c r="K6" i="135"/>
  <c r="G21" i="133" s="1"/>
  <c r="L6" i="135"/>
  <c r="H21" i="133" s="1"/>
  <c r="M6" i="135"/>
  <c r="I21" i="133" s="1"/>
  <c r="N6" i="135"/>
  <c r="J21" i="133" s="1"/>
  <c r="O6" i="135"/>
  <c r="K21" i="133" s="1"/>
  <c r="P6" i="135"/>
  <c r="L21" i="133" s="1"/>
  <c r="Q6" i="135"/>
  <c r="M21" i="133" s="1"/>
  <c r="G4" i="135"/>
  <c r="G5" i="135"/>
  <c r="G3" i="135"/>
  <c r="G6" i="135" s="1"/>
  <c r="C21" i="133" s="1"/>
  <c r="D20" i="115" s="1"/>
  <c r="C46" i="133" l="1"/>
  <c r="C62" i="133" s="1"/>
  <c r="C47" i="133"/>
  <c r="C45" i="133"/>
  <c r="C63" i="133" s="1"/>
  <c r="D63" i="133" s="1"/>
  <c r="C48" i="133"/>
  <c r="D62" i="133" l="1"/>
  <c r="C64" i="133"/>
  <c r="G25" i="121"/>
  <c r="G26" i="121"/>
  <c r="G27" i="121"/>
  <c r="H7" i="13"/>
  <c r="I7" i="13"/>
  <c r="J7" i="13"/>
  <c r="K7" i="13"/>
  <c r="L7" i="13"/>
  <c r="M7" i="13"/>
  <c r="N7" i="13"/>
  <c r="O7" i="13"/>
  <c r="P7" i="13"/>
  <c r="Q7" i="13"/>
  <c r="G6" i="13"/>
  <c r="D64" i="133" l="1"/>
  <c r="G46" i="122"/>
  <c r="G45" i="122"/>
  <c r="G44" i="122"/>
  <c r="G43" i="122"/>
  <c r="M38" i="133" l="1"/>
  <c r="L38" i="133"/>
  <c r="K38" i="133"/>
  <c r="J38" i="133"/>
  <c r="I38" i="133"/>
  <c r="M18" i="133"/>
  <c r="L18" i="133"/>
  <c r="K18" i="133"/>
  <c r="J18" i="133"/>
  <c r="I18" i="133"/>
  <c r="H18" i="133"/>
  <c r="G18" i="133"/>
  <c r="F18" i="133"/>
  <c r="E18" i="133"/>
  <c r="D18" i="133"/>
  <c r="M15" i="133"/>
  <c r="L15" i="133"/>
  <c r="K15" i="133"/>
  <c r="J15" i="133"/>
  <c r="I15" i="133"/>
  <c r="H15" i="133"/>
  <c r="G15" i="133"/>
  <c r="F15" i="133"/>
  <c r="E15" i="133"/>
  <c r="M11" i="133"/>
  <c r="L11" i="133"/>
  <c r="K11" i="133"/>
  <c r="J11" i="133"/>
  <c r="I11" i="133"/>
  <c r="H11" i="133"/>
  <c r="G11" i="133"/>
  <c r="H57" i="121" l="1"/>
  <c r="D44" i="133" s="1"/>
  <c r="I57" i="121"/>
  <c r="E44" i="133" s="1"/>
  <c r="J57" i="121"/>
  <c r="F44" i="133" s="1"/>
  <c r="K57" i="121"/>
  <c r="G44" i="133" s="1"/>
  <c r="L57" i="121"/>
  <c r="H44" i="133" s="1"/>
  <c r="M57" i="121"/>
  <c r="I44" i="133" s="1"/>
  <c r="N57" i="121"/>
  <c r="J44" i="133" s="1"/>
  <c r="O57" i="121"/>
  <c r="K44" i="133" s="1"/>
  <c r="P57" i="121"/>
  <c r="L44" i="133" s="1"/>
  <c r="Q57" i="121"/>
  <c r="M44" i="133" s="1"/>
  <c r="H56" i="121"/>
  <c r="I56" i="121"/>
  <c r="J56" i="121"/>
  <c r="K56" i="121"/>
  <c r="L56" i="121"/>
  <c r="M56" i="121"/>
  <c r="M58" i="121" s="1"/>
  <c r="I43" i="133" s="1"/>
  <c r="N56" i="121"/>
  <c r="O56" i="121"/>
  <c r="P56" i="121"/>
  <c r="Q56" i="121"/>
  <c r="J58" i="121" l="1"/>
  <c r="F43" i="133" s="1"/>
  <c r="P58" i="121"/>
  <c r="L43" i="133" s="1"/>
  <c r="O58" i="121"/>
  <c r="K43" i="133" s="1"/>
  <c r="I58" i="121"/>
  <c r="E43" i="133" s="1"/>
  <c r="L58" i="121"/>
  <c r="H43" i="133" s="1"/>
  <c r="Q58" i="121"/>
  <c r="M43" i="133" s="1"/>
  <c r="K58" i="121"/>
  <c r="G43" i="133" s="1"/>
  <c r="N58" i="121"/>
  <c r="J43" i="133" s="1"/>
  <c r="H58" i="121"/>
  <c r="D43" i="133" s="1"/>
  <c r="Q4" i="131" l="1"/>
  <c r="P4" i="131"/>
  <c r="O4" i="131"/>
  <c r="N4" i="131"/>
  <c r="M4" i="131"/>
  <c r="L4" i="131"/>
  <c r="K4" i="131"/>
  <c r="J4" i="131"/>
  <c r="I4" i="131"/>
  <c r="H4" i="131"/>
  <c r="G3" i="131"/>
  <c r="G4" i="131" s="1"/>
  <c r="C15" i="133" s="1"/>
  <c r="D23" i="115" s="1"/>
  <c r="H16" i="130" l="1"/>
  <c r="I16" i="130"/>
  <c r="J16" i="130"/>
  <c r="K16" i="130"/>
  <c r="L16" i="130"/>
  <c r="M16" i="130"/>
  <c r="N16" i="130"/>
  <c r="O16" i="130"/>
  <c r="P16" i="130"/>
  <c r="Q16" i="130"/>
  <c r="L41" i="133" l="1"/>
  <c r="F41" i="133"/>
  <c r="K41" i="133"/>
  <c r="E41" i="133"/>
  <c r="J41" i="133"/>
  <c r="D41" i="133"/>
  <c r="I41" i="133"/>
  <c r="H41" i="133"/>
  <c r="M41" i="133"/>
  <c r="G41" i="133"/>
  <c r="G15" i="130"/>
  <c r="G14" i="130"/>
  <c r="G13" i="130"/>
  <c r="G12" i="130"/>
  <c r="G11" i="130"/>
  <c r="G10" i="130"/>
  <c r="G9" i="130"/>
  <c r="G8" i="130"/>
  <c r="G7" i="130"/>
  <c r="G6" i="130"/>
  <c r="G5" i="130"/>
  <c r="G4" i="130"/>
  <c r="G3" i="130"/>
  <c r="G16" i="130" l="1"/>
  <c r="C41" i="133" l="1"/>
  <c r="D40" i="115" s="1"/>
  <c r="H8" i="123"/>
  <c r="I8" i="123"/>
  <c r="J8" i="123"/>
  <c r="K8" i="123"/>
  <c r="L8" i="123"/>
  <c r="M8" i="123"/>
  <c r="N8" i="123"/>
  <c r="O8" i="123"/>
  <c r="P8" i="123"/>
  <c r="Q8" i="123"/>
  <c r="G7" i="123"/>
  <c r="G5" i="123"/>
  <c r="G4" i="123"/>
  <c r="Q4" i="128" l="1"/>
  <c r="P4" i="128"/>
  <c r="O4" i="128"/>
  <c r="N4" i="128"/>
  <c r="M4" i="128"/>
  <c r="L4" i="128"/>
  <c r="K4" i="128"/>
  <c r="J4" i="128"/>
  <c r="I4" i="128"/>
  <c r="H4" i="128"/>
  <c r="G3" i="128"/>
  <c r="G4" i="128" s="1"/>
  <c r="Q4" i="127"/>
  <c r="P4" i="127"/>
  <c r="O4" i="127"/>
  <c r="N4" i="127"/>
  <c r="M4" i="127"/>
  <c r="L4" i="127"/>
  <c r="K4" i="127"/>
  <c r="J4" i="127"/>
  <c r="I4" i="127"/>
  <c r="H4" i="127"/>
  <c r="G3" i="127"/>
  <c r="G4" i="127" s="1"/>
  <c r="Q4" i="126"/>
  <c r="P4" i="126"/>
  <c r="O4" i="126"/>
  <c r="N4" i="126"/>
  <c r="M4" i="126"/>
  <c r="L4" i="126"/>
  <c r="K4" i="126"/>
  <c r="J4" i="126"/>
  <c r="I4" i="126"/>
  <c r="H4" i="126"/>
  <c r="G3" i="126"/>
  <c r="G4" i="126" s="1"/>
  <c r="I20" i="133" l="1"/>
  <c r="J20" i="133"/>
  <c r="K20" i="133"/>
  <c r="C20" i="133"/>
  <c r="D19" i="115" s="1"/>
  <c r="D20" i="133"/>
  <c r="F20" i="133"/>
  <c r="L20" i="133"/>
  <c r="G20" i="133"/>
  <c r="M20" i="133"/>
  <c r="E20" i="133"/>
  <c r="H20" i="133"/>
  <c r="D19" i="133"/>
  <c r="D17" i="133"/>
  <c r="C19" i="133"/>
  <c r="D18" i="115" s="1"/>
  <c r="K19" i="133"/>
  <c r="L19" i="133"/>
  <c r="M19" i="133"/>
  <c r="E19" i="133"/>
  <c r="H19" i="133"/>
  <c r="I19" i="133"/>
  <c r="F19" i="133"/>
  <c r="G19" i="133"/>
  <c r="J19" i="133"/>
  <c r="M17" i="133"/>
  <c r="H17" i="133"/>
  <c r="I17" i="133"/>
  <c r="J17" i="133"/>
  <c r="C17" i="133"/>
  <c r="D16" i="115" s="1"/>
  <c r="K17" i="133"/>
  <c r="G17" i="133"/>
  <c r="E17" i="133"/>
  <c r="F17" i="133"/>
  <c r="L17" i="133"/>
  <c r="Q34" i="125"/>
  <c r="P34" i="125"/>
  <c r="O34" i="125"/>
  <c r="N34" i="125"/>
  <c r="M34" i="125"/>
  <c r="L34" i="125"/>
  <c r="K34" i="125"/>
  <c r="J34" i="125"/>
  <c r="I34" i="125"/>
  <c r="H34" i="125"/>
  <c r="G33" i="125"/>
  <c r="G32" i="125"/>
  <c r="G31" i="125"/>
  <c r="G30" i="125"/>
  <c r="G29" i="125"/>
  <c r="G28" i="125"/>
  <c r="G27" i="125"/>
  <c r="G26" i="125"/>
  <c r="G25" i="125"/>
  <c r="G24" i="125"/>
  <c r="G23" i="125"/>
  <c r="G22" i="125"/>
  <c r="G21" i="125"/>
  <c r="G20" i="125"/>
  <c r="G19" i="125"/>
  <c r="G18" i="125"/>
  <c r="G17" i="125"/>
  <c r="G16" i="125"/>
  <c r="G15" i="125"/>
  <c r="G14" i="125"/>
  <c r="G13" i="125"/>
  <c r="G12" i="125"/>
  <c r="G11" i="125"/>
  <c r="G10" i="125"/>
  <c r="G9" i="125"/>
  <c r="G8" i="125"/>
  <c r="G7" i="125"/>
  <c r="G6" i="125"/>
  <c r="G5" i="125"/>
  <c r="G4" i="125"/>
  <c r="H34" i="133" l="1"/>
  <c r="I34" i="133"/>
  <c r="D34" i="133"/>
  <c r="J34" i="133"/>
  <c r="E34" i="133"/>
  <c r="K34" i="133"/>
  <c r="F34" i="133"/>
  <c r="L34" i="133"/>
  <c r="G34" i="133"/>
  <c r="M34" i="133"/>
  <c r="G34" i="125"/>
  <c r="C34" i="133" l="1"/>
  <c r="D33" i="115" s="1"/>
  <c r="Q24" i="124"/>
  <c r="P24" i="124"/>
  <c r="O24" i="124"/>
  <c r="N24" i="124"/>
  <c r="M24" i="124"/>
  <c r="L24" i="124"/>
  <c r="K24" i="124"/>
  <c r="J24" i="124"/>
  <c r="I24" i="124"/>
  <c r="H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G9" i="124"/>
  <c r="G8" i="124"/>
  <c r="G7" i="124"/>
  <c r="G6" i="124"/>
  <c r="G5" i="124"/>
  <c r="G4" i="124"/>
  <c r="H43" i="121"/>
  <c r="I43" i="121"/>
  <c r="J43" i="121"/>
  <c r="K43" i="121"/>
  <c r="L43" i="121"/>
  <c r="M43" i="121"/>
  <c r="N43" i="121"/>
  <c r="O43" i="121"/>
  <c r="P43" i="121"/>
  <c r="Q43" i="121"/>
  <c r="G5" i="121"/>
  <c r="G6" i="121"/>
  <c r="G7" i="121"/>
  <c r="G8" i="121"/>
  <c r="G9" i="121"/>
  <c r="G10" i="121"/>
  <c r="G11" i="121"/>
  <c r="G12" i="121"/>
  <c r="G13" i="121"/>
  <c r="G14" i="121"/>
  <c r="G15" i="121"/>
  <c r="G16" i="121"/>
  <c r="G17" i="121"/>
  <c r="G18" i="121"/>
  <c r="G19" i="121"/>
  <c r="G20" i="121"/>
  <c r="G21" i="121"/>
  <c r="G22" i="121"/>
  <c r="G23" i="121"/>
  <c r="G24" i="121"/>
  <c r="G28" i="121"/>
  <c r="G29" i="121"/>
  <c r="G30" i="121"/>
  <c r="G31" i="121"/>
  <c r="G32" i="121"/>
  <c r="G33" i="121"/>
  <c r="G34" i="121"/>
  <c r="G35" i="121"/>
  <c r="G36" i="121"/>
  <c r="G37" i="121"/>
  <c r="G38" i="121"/>
  <c r="G39" i="121"/>
  <c r="G40" i="121"/>
  <c r="G41" i="121"/>
  <c r="G42" i="121"/>
  <c r="H53" i="121"/>
  <c r="I53" i="121"/>
  <c r="J53" i="121"/>
  <c r="K53" i="121"/>
  <c r="L53" i="121"/>
  <c r="M53" i="121"/>
  <c r="N53" i="121"/>
  <c r="O53" i="121"/>
  <c r="P53" i="121"/>
  <c r="Q53" i="121"/>
  <c r="I9" i="133" l="1"/>
  <c r="D9" i="133"/>
  <c r="J9" i="133"/>
  <c r="E9" i="133"/>
  <c r="K9" i="133"/>
  <c r="F9" i="133"/>
  <c r="L9" i="133"/>
  <c r="G9" i="133"/>
  <c r="M9" i="133"/>
  <c r="H9" i="133"/>
  <c r="G57" i="121"/>
  <c r="C44" i="133" s="1"/>
  <c r="G56" i="121"/>
  <c r="J54" i="121"/>
  <c r="J55" i="121" s="1"/>
  <c r="Q54" i="121"/>
  <c r="K54" i="121"/>
  <c r="P54" i="121"/>
  <c r="M54" i="121"/>
  <c r="L54" i="121"/>
  <c r="G24" i="124"/>
  <c r="O54" i="121"/>
  <c r="I54" i="121"/>
  <c r="N54" i="121"/>
  <c r="H54" i="121"/>
  <c r="C53" i="133" l="1"/>
  <c r="D53" i="133" s="1"/>
  <c r="D4" i="137" s="1"/>
  <c r="D12" i="137" s="1"/>
  <c r="C58" i="133"/>
  <c r="C9" i="133"/>
  <c r="D9" i="115" s="1"/>
  <c r="F42" i="133"/>
  <c r="J59" i="121"/>
  <c r="I55" i="121"/>
  <c r="Q55" i="121"/>
  <c r="N55" i="121"/>
  <c r="M55" i="121"/>
  <c r="O55" i="121"/>
  <c r="P55" i="121"/>
  <c r="K55" i="121"/>
  <c r="H55" i="121"/>
  <c r="L55" i="121"/>
  <c r="G51" i="121"/>
  <c r="G52" i="121"/>
  <c r="G50" i="121"/>
  <c r="G6" i="102"/>
  <c r="G7" i="102"/>
  <c r="G8" i="102"/>
  <c r="G9" i="102"/>
  <c r="G10" i="102"/>
  <c r="G11" i="102"/>
  <c r="G12" i="102"/>
  <c r="G13" i="102"/>
  <c r="G14" i="102"/>
  <c r="G15" i="102"/>
  <c r="G16" i="102"/>
  <c r="G17" i="102"/>
  <c r="G19" i="102"/>
  <c r="G20" i="102"/>
  <c r="G21" i="102"/>
  <c r="G22" i="102"/>
  <c r="H23" i="102"/>
  <c r="D5" i="133" s="1"/>
  <c r="I23" i="102"/>
  <c r="E5" i="133" s="1"/>
  <c r="J23" i="102"/>
  <c r="F5" i="133" s="1"/>
  <c r="K23" i="102"/>
  <c r="G5" i="133" s="1"/>
  <c r="L23" i="102"/>
  <c r="H5" i="133" s="1"/>
  <c r="M23" i="102"/>
  <c r="I5" i="133" s="1"/>
  <c r="N23" i="102"/>
  <c r="J5" i="133" s="1"/>
  <c r="O23" i="102"/>
  <c r="K5" i="133" s="1"/>
  <c r="P23" i="102"/>
  <c r="L5" i="133" s="1"/>
  <c r="Q23" i="102"/>
  <c r="M5" i="133" s="1"/>
  <c r="H20" i="86"/>
  <c r="I20" i="86"/>
  <c r="J20" i="86"/>
  <c r="K20" i="86"/>
  <c r="G26" i="133" s="1"/>
  <c r="L20" i="86"/>
  <c r="H26" i="133" s="1"/>
  <c r="M20" i="86"/>
  <c r="N20" i="86"/>
  <c r="O20" i="86"/>
  <c r="P20" i="86"/>
  <c r="Q20" i="86"/>
  <c r="M26" i="133" s="1"/>
  <c r="H10" i="85"/>
  <c r="I10" i="85"/>
  <c r="J10" i="85"/>
  <c r="K10" i="85"/>
  <c r="L10" i="85"/>
  <c r="M10" i="85"/>
  <c r="N10" i="85"/>
  <c r="O10" i="85"/>
  <c r="P10" i="85"/>
  <c r="Q10" i="85"/>
  <c r="G9" i="85"/>
  <c r="G4" i="85"/>
  <c r="D58" i="133" l="1"/>
  <c r="E26" i="133"/>
  <c r="D26" i="133"/>
  <c r="I26" i="133"/>
  <c r="J26" i="133"/>
  <c r="K26" i="133"/>
  <c r="L26" i="133"/>
  <c r="F26" i="133"/>
  <c r="L8" i="133"/>
  <c r="F8" i="133"/>
  <c r="K8" i="133"/>
  <c r="E8" i="133"/>
  <c r="J8" i="133"/>
  <c r="D8" i="133"/>
  <c r="I8" i="133"/>
  <c r="H8" i="133"/>
  <c r="M8" i="133"/>
  <c r="G8" i="133"/>
  <c r="D42" i="133"/>
  <c r="H59" i="121"/>
  <c r="G42" i="133"/>
  <c r="K59" i="121"/>
  <c r="I42" i="133"/>
  <c r="M59" i="121"/>
  <c r="E42" i="133"/>
  <c r="I59" i="121"/>
  <c r="H42" i="133"/>
  <c r="L59" i="121"/>
  <c r="L42" i="133"/>
  <c r="P59" i="121"/>
  <c r="J42" i="133"/>
  <c r="N59" i="121"/>
  <c r="K42" i="133"/>
  <c r="O59" i="121"/>
  <c r="M42" i="133"/>
  <c r="Q59" i="121"/>
  <c r="G8" i="86"/>
  <c r="G5" i="86"/>
  <c r="G4" i="86"/>
  <c r="H19" i="90" l="1"/>
  <c r="I19" i="90"/>
  <c r="J19" i="90"/>
  <c r="K19" i="90"/>
  <c r="L19" i="90"/>
  <c r="M19" i="90"/>
  <c r="N19" i="90"/>
  <c r="O19" i="90"/>
  <c r="P19" i="90"/>
  <c r="Q19" i="90"/>
  <c r="G6" i="123"/>
  <c r="G8" i="123" s="1"/>
  <c r="G15" i="90"/>
  <c r="G14" i="90"/>
  <c r="G22" i="133" l="1"/>
  <c r="F22" i="133"/>
  <c r="L22" i="133"/>
  <c r="H22" i="133"/>
  <c r="M22" i="133"/>
  <c r="K22" i="133"/>
  <c r="E22" i="133"/>
  <c r="J22" i="133"/>
  <c r="I22" i="133"/>
  <c r="D22" i="133"/>
  <c r="H47" i="122"/>
  <c r="I47" i="122"/>
  <c r="J47" i="122"/>
  <c r="K47" i="122"/>
  <c r="L47" i="122"/>
  <c r="M47" i="122"/>
  <c r="N47" i="122"/>
  <c r="O47" i="122"/>
  <c r="P47" i="122"/>
  <c r="Q47" i="122"/>
  <c r="D28" i="133" l="1"/>
  <c r="I28" i="133"/>
  <c r="K28" i="133"/>
  <c r="H28" i="133"/>
  <c r="J28" i="133"/>
  <c r="M28" i="133"/>
  <c r="G28" i="133"/>
  <c r="E28" i="133"/>
  <c r="L28" i="133"/>
  <c r="F28" i="133"/>
  <c r="G42" i="122"/>
  <c r="G41" i="122"/>
  <c r="G40" i="122"/>
  <c r="G39" i="122"/>
  <c r="G38" i="122"/>
  <c r="G37" i="122"/>
  <c r="G36" i="122"/>
  <c r="G35" i="122"/>
  <c r="G34" i="122"/>
  <c r="G33" i="122"/>
  <c r="G32" i="122"/>
  <c r="G31" i="122"/>
  <c r="G30" i="122"/>
  <c r="G29" i="122"/>
  <c r="G28" i="122"/>
  <c r="G27" i="122"/>
  <c r="G26" i="122"/>
  <c r="G25" i="122"/>
  <c r="G24" i="122"/>
  <c r="G23" i="122"/>
  <c r="G22" i="122"/>
  <c r="G21" i="122"/>
  <c r="G20" i="122"/>
  <c r="G19" i="122"/>
  <c r="G18" i="122"/>
  <c r="G17" i="122"/>
  <c r="G16" i="122"/>
  <c r="G15" i="122"/>
  <c r="G14" i="122"/>
  <c r="G13" i="122"/>
  <c r="G12" i="122"/>
  <c r="G11" i="122"/>
  <c r="G10" i="122"/>
  <c r="G9" i="122"/>
  <c r="G8" i="122"/>
  <c r="G7" i="122"/>
  <c r="G6" i="122"/>
  <c r="G5" i="122"/>
  <c r="G4" i="122"/>
  <c r="G47" i="122" l="1"/>
  <c r="C28" i="133" l="1"/>
  <c r="D28" i="115" s="1"/>
  <c r="H4" i="23"/>
  <c r="D12" i="133" l="1"/>
  <c r="G30" i="7"/>
  <c r="G29" i="7"/>
  <c r="G37" i="7" l="1"/>
  <c r="G122" i="7"/>
  <c r="G4" i="89" l="1"/>
  <c r="G5" i="89"/>
  <c r="G6" i="89"/>
  <c r="G7" i="89"/>
  <c r="G8" i="89"/>
  <c r="G9" i="89"/>
  <c r="G10" i="89"/>
  <c r="G119" i="7" l="1"/>
  <c r="G120" i="7"/>
  <c r="G112" i="7"/>
  <c r="G111" i="7"/>
  <c r="G110" i="7"/>
  <c r="G68" i="7"/>
  <c r="G69" i="7"/>
  <c r="G66" i="7"/>
  <c r="G57" i="7"/>
  <c r="G46" i="121" l="1"/>
  <c r="G49" i="121"/>
  <c r="G48" i="121"/>
  <c r="G47" i="121"/>
  <c r="G45" i="121"/>
  <c r="G4" i="121"/>
  <c r="G53" i="121" l="1"/>
  <c r="G58" i="121"/>
  <c r="C43" i="133" s="1"/>
  <c r="G43" i="121"/>
  <c r="C54" i="133" l="1"/>
  <c r="D54" i="133" s="1"/>
  <c r="E4" i="137" s="1"/>
  <c r="E12" i="137" s="1"/>
  <c r="C59" i="133"/>
  <c r="C55" i="133"/>
  <c r="D55" i="133" s="1"/>
  <c r="G54" i="121"/>
  <c r="D59" i="133" l="1"/>
  <c r="C60" i="133"/>
  <c r="G55" i="121"/>
  <c r="C42" i="133" s="1"/>
  <c r="Q5" i="120"/>
  <c r="P5" i="120"/>
  <c r="O5" i="120"/>
  <c r="N5" i="120"/>
  <c r="M5" i="120"/>
  <c r="L5" i="120"/>
  <c r="K5" i="120"/>
  <c r="J5" i="120"/>
  <c r="I5" i="120"/>
  <c r="H5" i="120"/>
  <c r="G4" i="120"/>
  <c r="G5" i="120" s="1"/>
  <c r="E41" i="115" l="1"/>
  <c r="D60" i="133"/>
  <c r="E23" i="133"/>
  <c r="K23" i="133"/>
  <c r="F23" i="133"/>
  <c r="L23" i="133"/>
  <c r="G23" i="133"/>
  <c r="M23" i="133"/>
  <c r="H23" i="133"/>
  <c r="C23" i="133"/>
  <c r="D24" i="115" s="1"/>
  <c r="I23" i="133"/>
  <c r="D23" i="133"/>
  <c r="J23" i="133"/>
  <c r="G59" i="121"/>
  <c r="F41" i="115"/>
  <c r="Q19" i="119"/>
  <c r="P19" i="119"/>
  <c r="O19" i="119"/>
  <c r="N19" i="119"/>
  <c r="M19" i="119"/>
  <c r="L19" i="119"/>
  <c r="K19" i="119"/>
  <c r="J19" i="119"/>
  <c r="I19" i="119"/>
  <c r="H19" i="119"/>
  <c r="G18" i="119"/>
  <c r="G17" i="119"/>
  <c r="G16" i="119"/>
  <c r="G15" i="119"/>
  <c r="G14" i="119"/>
  <c r="G13" i="119"/>
  <c r="G12" i="119"/>
  <c r="G11" i="119"/>
  <c r="G10" i="119"/>
  <c r="G9" i="119"/>
  <c r="G8" i="119"/>
  <c r="G7" i="119"/>
  <c r="G6" i="119"/>
  <c r="G5" i="119"/>
  <c r="G4" i="119"/>
  <c r="L36" i="133" l="1"/>
  <c r="J36" i="133"/>
  <c r="E36" i="133"/>
  <c r="F36" i="133"/>
  <c r="G36" i="133"/>
  <c r="M36" i="133"/>
  <c r="D36" i="133"/>
  <c r="K36" i="133"/>
  <c r="H36" i="133"/>
  <c r="I36" i="133"/>
  <c r="G19" i="119"/>
  <c r="C36" i="133" l="1"/>
  <c r="D35" i="115" s="1"/>
  <c r="G5" i="101" l="1"/>
  <c r="G6" i="101"/>
  <c r="G7" i="101"/>
  <c r="G8" i="101"/>
  <c r="G9" i="101"/>
  <c r="G10" i="101"/>
  <c r="G11" i="101"/>
  <c r="G12" i="101"/>
  <c r="G13" i="101"/>
  <c r="G14" i="101"/>
  <c r="G15" i="101"/>
  <c r="G16" i="101"/>
  <c r="G17" i="101"/>
  <c r="G18" i="101"/>
  <c r="G19" i="101"/>
  <c r="G20" i="101"/>
  <c r="G21" i="101"/>
  <c r="G22" i="101"/>
  <c r="G23" i="101"/>
  <c r="G24" i="101"/>
  <c r="G25" i="101"/>
  <c r="G26" i="101"/>
  <c r="G27" i="101"/>
  <c r="G28" i="101"/>
  <c r="G29" i="101"/>
  <c r="G30" i="101"/>
  <c r="G31" i="101"/>
  <c r="G32" i="101"/>
  <c r="G33" i="101"/>
  <c r="G34" i="101"/>
  <c r="G35" i="101"/>
  <c r="G36" i="101"/>
  <c r="G4" i="101"/>
  <c r="H17" i="110" l="1"/>
  <c r="I17" i="110"/>
  <c r="J17" i="110"/>
  <c r="K17" i="110"/>
  <c r="L17" i="110"/>
  <c r="M17" i="110"/>
  <c r="N17" i="110"/>
  <c r="O17" i="110"/>
  <c r="P17" i="110"/>
  <c r="Q17" i="110"/>
  <c r="H14" i="133" l="1"/>
  <c r="G14" i="133"/>
  <c r="F14" i="133"/>
  <c r="M14" i="133"/>
  <c r="K14" i="133"/>
  <c r="E14" i="133"/>
  <c r="I14" i="133"/>
  <c r="L14" i="133"/>
  <c r="J14" i="133"/>
  <c r="D14" i="133"/>
  <c r="G5" i="110"/>
  <c r="G6" i="110"/>
  <c r="G7" i="110"/>
  <c r="G8" i="110"/>
  <c r="G9" i="110"/>
  <c r="G10" i="110"/>
  <c r="G11" i="110"/>
  <c r="G12" i="110"/>
  <c r="G13" i="110"/>
  <c r="G14" i="110"/>
  <c r="G15" i="110"/>
  <c r="G16" i="110"/>
  <c r="G4" i="110"/>
  <c r="G17" i="110" l="1"/>
  <c r="G25" i="100"/>
  <c r="G26" i="100"/>
  <c r="G24" i="100"/>
  <c r="C14" i="133" l="1"/>
  <c r="D14" i="115" s="1"/>
  <c r="G5" i="100"/>
  <c r="G6" i="100"/>
  <c r="G7" i="100"/>
  <c r="G8" i="100"/>
  <c r="G9" i="100"/>
  <c r="G10" i="100"/>
  <c r="G11" i="100"/>
  <c r="G12" i="100"/>
  <c r="G13" i="100"/>
  <c r="G14" i="100"/>
  <c r="G15" i="100"/>
  <c r="G16" i="100"/>
  <c r="G17" i="100"/>
  <c r="G18" i="100"/>
  <c r="G19" i="100"/>
  <c r="G20" i="100"/>
  <c r="G21" i="100"/>
  <c r="G22" i="100"/>
  <c r="G23" i="100"/>
  <c r="G4" i="100"/>
  <c r="P27" i="100"/>
  <c r="Q27" i="100"/>
  <c r="O27" i="100"/>
  <c r="N27" i="100"/>
  <c r="M27" i="100"/>
  <c r="K27" i="100"/>
  <c r="L27" i="100"/>
  <c r="J27" i="100"/>
  <c r="I27" i="100"/>
  <c r="H27" i="100"/>
  <c r="F4" i="133" l="1"/>
  <c r="L4" i="133"/>
  <c r="G4" i="133"/>
  <c r="M4" i="133"/>
  <c r="H4" i="133"/>
  <c r="I4" i="133"/>
  <c r="E4" i="133"/>
  <c r="D4" i="133"/>
  <c r="J4" i="133"/>
  <c r="K4" i="133"/>
  <c r="G4" i="88"/>
  <c r="G5" i="88"/>
  <c r="G3" i="88"/>
  <c r="G4" i="87" l="1"/>
  <c r="G5" i="87"/>
  <c r="G3" i="87"/>
  <c r="H127" i="7" l="1"/>
  <c r="I127" i="7"/>
  <c r="J127" i="7"/>
  <c r="K127" i="7"/>
  <c r="L127" i="7"/>
  <c r="M127" i="7"/>
  <c r="N127" i="7"/>
  <c r="O127" i="7"/>
  <c r="P127" i="7"/>
  <c r="Q127" i="7"/>
  <c r="I3" i="133" l="1"/>
  <c r="H3" i="133"/>
  <c r="M3" i="133"/>
  <c r="G3" i="133"/>
  <c r="L3" i="133"/>
  <c r="K3" i="133"/>
  <c r="E3" i="133"/>
  <c r="F3" i="133"/>
  <c r="J3" i="133"/>
  <c r="D3" i="133"/>
  <c r="E42" i="115"/>
  <c r="G7" i="86"/>
  <c r="G9" i="86"/>
  <c r="G10" i="86"/>
  <c r="G11" i="86"/>
  <c r="G12" i="86"/>
  <c r="G13" i="86"/>
  <c r="G14" i="86"/>
  <c r="G15" i="86"/>
  <c r="G16" i="86"/>
  <c r="G17" i="86"/>
  <c r="G18" i="86"/>
  <c r="G19" i="86"/>
  <c r="G6" i="86"/>
  <c r="G5" i="90"/>
  <c r="G6" i="90"/>
  <c r="G7" i="90"/>
  <c r="G8" i="90"/>
  <c r="G9" i="90"/>
  <c r="G10" i="90"/>
  <c r="G11" i="90"/>
  <c r="G12" i="90"/>
  <c r="G16" i="90"/>
  <c r="G17" i="90"/>
  <c r="G18" i="90"/>
  <c r="G20" i="86" l="1"/>
  <c r="G41" i="115"/>
  <c r="G8" i="54"/>
  <c r="G11" i="95"/>
  <c r="G10" i="95"/>
  <c r="G3" i="112"/>
  <c r="G6" i="112" s="1"/>
  <c r="G3" i="107"/>
  <c r="G4" i="107" s="1"/>
  <c r="G4" i="75"/>
  <c r="G5" i="75"/>
  <c r="G6" i="75"/>
  <c r="G7" i="75"/>
  <c r="G8" i="75"/>
  <c r="G3" i="75"/>
  <c r="G6" i="85"/>
  <c r="G7" i="85"/>
  <c r="G8" i="85"/>
  <c r="G5" i="85"/>
  <c r="G10" i="83"/>
  <c r="G11" i="83"/>
  <c r="G12" i="83"/>
  <c r="G13" i="83"/>
  <c r="G4" i="83"/>
  <c r="G14" i="83"/>
  <c r="G15" i="83"/>
  <c r="G16" i="83"/>
  <c r="G5" i="83"/>
  <c r="G6" i="83"/>
  <c r="G7" i="83"/>
  <c r="G8" i="83"/>
  <c r="G9" i="83"/>
  <c r="G17" i="83"/>
  <c r="H18" i="83"/>
  <c r="I18" i="83"/>
  <c r="J18" i="83"/>
  <c r="K18" i="83"/>
  <c r="L18" i="83"/>
  <c r="M18" i="83"/>
  <c r="N18" i="83"/>
  <c r="O18" i="83"/>
  <c r="P18" i="83"/>
  <c r="Q18" i="83"/>
  <c r="G125" i="7"/>
  <c r="G123" i="7"/>
  <c r="H9" i="80"/>
  <c r="I9" i="80"/>
  <c r="J9" i="80"/>
  <c r="K9" i="80"/>
  <c r="L9" i="80"/>
  <c r="M9" i="80"/>
  <c r="N9" i="80"/>
  <c r="O9" i="80"/>
  <c r="P9" i="80"/>
  <c r="Q9" i="80"/>
  <c r="G6" i="80"/>
  <c r="G7" i="80"/>
  <c r="G8" i="80"/>
  <c r="G5" i="80"/>
  <c r="G4" i="80"/>
  <c r="G34" i="7"/>
  <c r="G28" i="7"/>
  <c r="H6" i="88"/>
  <c r="H5" i="22"/>
  <c r="H14" i="81"/>
  <c r="H13" i="54"/>
  <c r="I4" i="23"/>
  <c r="I5" i="22"/>
  <c r="I14" i="81"/>
  <c r="I13" i="54"/>
  <c r="J4" i="23"/>
  <c r="J6" i="88"/>
  <c r="J5" i="22"/>
  <c r="J14" i="81"/>
  <c r="J13" i="54"/>
  <c r="K4" i="23"/>
  <c r="K6" i="88"/>
  <c r="K5" i="22"/>
  <c r="K14" i="81"/>
  <c r="K13" i="54"/>
  <c r="L4" i="23"/>
  <c r="L6" i="88"/>
  <c r="L5" i="22"/>
  <c r="L14" i="81"/>
  <c r="L13" i="54"/>
  <c r="M4" i="23"/>
  <c r="M6" i="88"/>
  <c r="M5" i="22"/>
  <c r="M14" i="81"/>
  <c r="M13" i="54"/>
  <c r="N4" i="23"/>
  <c r="N6" i="88"/>
  <c r="N5" i="22"/>
  <c r="N14" i="81"/>
  <c r="N13" i="54"/>
  <c r="O4" i="23"/>
  <c r="O6" i="88"/>
  <c r="O5" i="22"/>
  <c r="O14" i="81"/>
  <c r="O13" i="54"/>
  <c r="P4" i="23"/>
  <c r="P6" i="88"/>
  <c r="P5" i="22"/>
  <c r="P14" i="81"/>
  <c r="P13" i="54"/>
  <c r="Q4" i="23"/>
  <c r="Q6" i="88"/>
  <c r="Q5" i="22"/>
  <c r="Q14" i="81"/>
  <c r="Q13" i="54"/>
  <c r="G42" i="7"/>
  <c r="G59" i="7"/>
  <c r="G38" i="7"/>
  <c r="G21" i="7"/>
  <c r="G23" i="7"/>
  <c r="G24" i="7"/>
  <c r="G88" i="7"/>
  <c r="G89" i="7"/>
  <c r="H11" i="93"/>
  <c r="G6" i="93"/>
  <c r="G4" i="93"/>
  <c r="G5" i="93"/>
  <c r="G7" i="93"/>
  <c r="G8" i="93"/>
  <c r="G9" i="93"/>
  <c r="G10" i="93"/>
  <c r="G101" i="7"/>
  <c r="G100" i="7"/>
  <c r="G81" i="7"/>
  <c r="G80" i="7"/>
  <c r="G113" i="7"/>
  <c r="G43" i="7"/>
  <c r="G106" i="7"/>
  <c r="G115" i="7"/>
  <c r="G44" i="7"/>
  <c r="G91" i="7"/>
  <c r="G92" i="7"/>
  <c r="G93" i="7"/>
  <c r="G94" i="7"/>
  <c r="G87" i="7"/>
  <c r="G76" i="7"/>
  <c r="G4" i="102"/>
  <c r="G15" i="7"/>
  <c r="G16" i="7"/>
  <c r="G17" i="7"/>
  <c r="G32" i="7"/>
  <c r="G10" i="7"/>
  <c r="G11" i="7"/>
  <c r="G73" i="7"/>
  <c r="G74" i="7"/>
  <c r="G77" i="7"/>
  <c r="G78" i="7"/>
  <c r="G79" i="7"/>
  <c r="G96" i="7"/>
  <c r="G45" i="7"/>
  <c r="G46" i="7"/>
  <c r="G47" i="7"/>
  <c r="G99" i="7"/>
  <c r="G4" i="7"/>
  <c r="G5" i="7"/>
  <c r="G12" i="7"/>
  <c r="G13" i="7"/>
  <c r="G26" i="7"/>
  <c r="G33" i="7"/>
  <c r="G6" i="7"/>
  <c r="G7" i="7"/>
  <c r="G8" i="7"/>
  <c r="G62" i="7"/>
  <c r="G61" i="7"/>
  <c r="G48" i="7"/>
  <c r="G82" i="7"/>
  <c r="G105" i="7"/>
  <c r="G9" i="7"/>
  <c r="G18" i="7"/>
  <c r="G19" i="7"/>
  <c r="G70" i="7"/>
  <c r="G116" i="7"/>
  <c r="G117" i="7"/>
  <c r="G20" i="7"/>
  <c r="G71" i="7"/>
  <c r="G72" i="7"/>
  <c r="G27" i="7"/>
  <c r="G31" i="7"/>
  <c r="G118" i="7"/>
  <c r="G63" i="7"/>
  <c r="G65" i="7"/>
  <c r="G67" i="7"/>
  <c r="G49" i="7"/>
  <c r="G50" i="7"/>
  <c r="G51" i="7"/>
  <c r="G52" i="7"/>
  <c r="G53" i="7"/>
  <c r="G54" i="7"/>
  <c r="G107" i="7"/>
  <c r="G75" i="7"/>
  <c r="G83" i="7"/>
  <c r="G84" i="7"/>
  <c r="G85" i="7"/>
  <c r="G25" i="7"/>
  <c r="G108" i="7"/>
  <c r="G121" i="7"/>
  <c r="G114" i="7"/>
  <c r="G64" i="7"/>
  <c r="G102" i="7"/>
  <c r="G97" i="7"/>
  <c r="G98" i="7"/>
  <c r="G39" i="7"/>
  <c r="G40" i="7"/>
  <c r="G41" i="7"/>
  <c r="G60" i="7"/>
  <c r="G109" i="7"/>
  <c r="G55" i="7"/>
  <c r="G56" i="7"/>
  <c r="G103" i="7"/>
  <c r="G36" i="7"/>
  <c r="G35" i="7"/>
  <c r="G104" i="7"/>
  <c r="G86" i="7"/>
  <c r="G90" i="7"/>
  <c r="G95" i="7"/>
  <c r="G58" i="7"/>
  <c r="G14" i="7"/>
  <c r="G5" i="54"/>
  <c r="G7" i="54"/>
  <c r="G9" i="54"/>
  <c r="G12" i="54"/>
  <c r="G11" i="54"/>
  <c r="G6" i="54"/>
  <c r="G10" i="54"/>
  <c r="G4" i="54"/>
  <c r="G3" i="23"/>
  <c r="G4" i="23" s="1"/>
  <c r="G3" i="22"/>
  <c r="G4" i="22"/>
  <c r="G6" i="81"/>
  <c r="G9" i="81"/>
  <c r="G4" i="81"/>
  <c r="G5" i="81"/>
  <c r="G10" i="81"/>
  <c r="G11" i="81"/>
  <c r="G12" i="81"/>
  <c r="G7" i="81"/>
  <c r="G8" i="81"/>
  <c r="G13" i="81"/>
  <c r="G11" i="106"/>
  <c r="G12" i="106"/>
  <c r="G13" i="106"/>
  <c r="G14" i="106"/>
  <c r="G5" i="106"/>
  <c r="G6" i="106"/>
  <c r="G7" i="106"/>
  <c r="G15" i="106"/>
  <c r="G4" i="106"/>
  <c r="G8" i="106"/>
  <c r="G9" i="106"/>
  <c r="G6" i="87"/>
  <c r="G4" i="21"/>
  <c r="G5" i="21"/>
  <c r="G6" i="21"/>
  <c r="G7" i="21"/>
  <c r="G8" i="21"/>
  <c r="G9" i="21"/>
  <c r="G10" i="21"/>
  <c r="G11" i="21"/>
  <c r="G12" i="21"/>
  <c r="G13" i="21"/>
  <c r="G14" i="21"/>
  <c r="G15" i="21"/>
  <c r="G4" i="13"/>
  <c r="G5" i="13"/>
  <c r="G3" i="89"/>
  <c r="G3" i="10"/>
  <c r="C18" i="133" s="1"/>
  <c r="D17" i="115" s="1"/>
  <c r="Q4" i="107"/>
  <c r="P4" i="107"/>
  <c r="O4" i="107"/>
  <c r="N4" i="107"/>
  <c r="M4" i="107"/>
  <c r="L4" i="107"/>
  <c r="K4" i="107"/>
  <c r="J4" i="107"/>
  <c r="I4" i="107"/>
  <c r="H4" i="107"/>
  <c r="G4" i="95"/>
  <c r="G5" i="95"/>
  <c r="G6" i="95"/>
  <c r="G7" i="95"/>
  <c r="G8" i="95"/>
  <c r="G9" i="95"/>
  <c r="G12" i="95"/>
  <c r="G13" i="95"/>
  <c r="H14" i="95"/>
  <c r="I14" i="95"/>
  <c r="J14" i="95"/>
  <c r="K14" i="95"/>
  <c r="L14" i="95"/>
  <c r="M14" i="95"/>
  <c r="N14" i="95"/>
  <c r="O14" i="95"/>
  <c r="P14" i="95"/>
  <c r="Q14" i="95"/>
  <c r="J7" i="94"/>
  <c r="P7" i="94"/>
  <c r="I11" i="93"/>
  <c r="J11" i="93"/>
  <c r="K11" i="93"/>
  <c r="L11" i="93"/>
  <c r="M11" i="93"/>
  <c r="N11" i="93"/>
  <c r="O11" i="93"/>
  <c r="P11" i="93"/>
  <c r="Q11" i="93"/>
  <c r="H6" i="87"/>
  <c r="I6" i="87"/>
  <c r="J6" i="87"/>
  <c r="K6" i="87"/>
  <c r="L6" i="87"/>
  <c r="M6" i="87"/>
  <c r="N6" i="87"/>
  <c r="O6" i="87"/>
  <c r="P6" i="87"/>
  <c r="Q6" i="87"/>
  <c r="H9" i="75"/>
  <c r="I9" i="75"/>
  <c r="J9" i="75"/>
  <c r="K9" i="75"/>
  <c r="L9" i="75"/>
  <c r="M9" i="75"/>
  <c r="N9" i="75"/>
  <c r="O9" i="75"/>
  <c r="P9" i="75"/>
  <c r="Q9" i="75"/>
  <c r="H11" i="89"/>
  <c r="I11" i="89"/>
  <c r="J11" i="89"/>
  <c r="K11" i="89"/>
  <c r="L11" i="89"/>
  <c r="M11" i="89"/>
  <c r="N11" i="89"/>
  <c r="O11" i="89"/>
  <c r="P11" i="89"/>
  <c r="Q11" i="89"/>
  <c r="I6" i="88"/>
  <c r="H37" i="101"/>
  <c r="I37" i="101"/>
  <c r="J37" i="101"/>
  <c r="K37" i="101"/>
  <c r="L37" i="101"/>
  <c r="M37" i="101"/>
  <c r="N37" i="101"/>
  <c r="O37" i="101"/>
  <c r="P37" i="101"/>
  <c r="Q37" i="101"/>
  <c r="G4" i="94"/>
  <c r="G5" i="94"/>
  <c r="G6" i="94"/>
  <c r="Q7" i="94"/>
  <c r="O7" i="94"/>
  <c r="N7" i="94"/>
  <c r="M7" i="94"/>
  <c r="L7" i="94"/>
  <c r="K7" i="94"/>
  <c r="I7" i="94"/>
  <c r="H7" i="94"/>
  <c r="H16" i="21"/>
  <c r="I16" i="21"/>
  <c r="J16" i="21"/>
  <c r="K16" i="21"/>
  <c r="L16" i="21"/>
  <c r="M16" i="21"/>
  <c r="N16" i="21"/>
  <c r="O16" i="21"/>
  <c r="P16" i="21"/>
  <c r="Q16" i="21"/>
  <c r="Q4" i="10"/>
  <c r="P4" i="10"/>
  <c r="O4" i="10"/>
  <c r="N4" i="10"/>
  <c r="M4" i="10"/>
  <c r="L4" i="10"/>
  <c r="K4" i="10"/>
  <c r="J4" i="10"/>
  <c r="I4" i="10"/>
  <c r="H4" i="10"/>
  <c r="G30" i="133" l="1"/>
  <c r="L30" i="133"/>
  <c r="M30" i="133"/>
  <c r="K30" i="133"/>
  <c r="I30" i="133"/>
  <c r="J30" i="133"/>
  <c r="H30" i="133"/>
  <c r="G5" i="22"/>
  <c r="L39" i="133"/>
  <c r="F39" i="133"/>
  <c r="J39" i="133"/>
  <c r="H39" i="133"/>
  <c r="I39" i="133"/>
  <c r="D39" i="133"/>
  <c r="K39" i="133"/>
  <c r="E39" i="133"/>
  <c r="M39" i="133"/>
  <c r="G39" i="133"/>
  <c r="I40" i="133"/>
  <c r="H40" i="133"/>
  <c r="G40" i="133"/>
  <c r="M40" i="133"/>
  <c r="L40" i="133"/>
  <c r="F40" i="133"/>
  <c r="K40" i="133"/>
  <c r="E40" i="133"/>
  <c r="J40" i="133"/>
  <c r="D40" i="133"/>
  <c r="H38" i="133"/>
  <c r="G38" i="133"/>
  <c r="F38" i="133"/>
  <c r="E38" i="133"/>
  <c r="G35" i="133"/>
  <c r="K35" i="133"/>
  <c r="E35" i="133"/>
  <c r="L35" i="133"/>
  <c r="J35" i="133"/>
  <c r="D35" i="133"/>
  <c r="M35" i="133"/>
  <c r="F35" i="133"/>
  <c r="I35" i="133"/>
  <c r="H35" i="133"/>
  <c r="I33" i="133"/>
  <c r="H33" i="133"/>
  <c r="L33" i="133"/>
  <c r="K33" i="133"/>
  <c r="E33" i="133"/>
  <c r="F33" i="133"/>
  <c r="J33" i="133"/>
  <c r="D33" i="133"/>
  <c r="M33" i="133"/>
  <c r="G33" i="133"/>
  <c r="M32" i="133"/>
  <c r="G32" i="133"/>
  <c r="L32" i="133"/>
  <c r="F32" i="133"/>
  <c r="K32" i="133"/>
  <c r="E32" i="133"/>
  <c r="J32" i="133"/>
  <c r="D32" i="133"/>
  <c r="I32" i="133"/>
  <c r="H32" i="133"/>
  <c r="F30" i="133"/>
  <c r="D30" i="133"/>
  <c r="E30" i="133"/>
  <c r="C30" i="133"/>
  <c r="D30" i="115" s="1"/>
  <c r="M29" i="133"/>
  <c r="G29" i="133"/>
  <c r="L29" i="133"/>
  <c r="F29" i="133"/>
  <c r="K29" i="133"/>
  <c r="E29" i="133"/>
  <c r="J29" i="133"/>
  <c r="D29" i="133"/>
  <c r="H29" i="133"/>
  <c r="I29" i="133"/>
  <c r="C26" i="133"/>
  <c r="D26" i="115" s="1"/>
  <c r="J25" i="133"/>
  <c r="H25" i="133"/>
  <c r="M25" i="133"/>
  <c r="G25" i="133"/>
  <c r="E25" i="133"/>
  <c r="D25" i="133"/>
  <c r="I25" i="133"/>
  <c r="L25" i="133"/>
  <c r="F25" i="133"/>
  <c r="K25" i="133"/>
  <c r="M24" i="133"/>
  <c r="G24" i="133"/>
  <c r="H24" i="133"/>
  <c r="I24" i="133"/>
  <c r="D24" i="133"/>
  <c r="J24" i="133"/>
  <c r="K24" i="133"/>
  <c r="E24" i="133"/>
  <c r="L24" i="133"/>
  <c r="F24" i="133"/>
  <c r="M16" i="133"/>
  <c r="H16" i="133"/>
  <c r="I16" i="133"/>
  <c r="D16" i="133"/>
  <c r="G16" i="133"/>
  <c r="J16" i="133"/>
  <c r="K16" i="133"/>
  <c r="E16" i="133"/>
  <c r="L16" i="133"/>
  <c r="F16" i="133"/>
  <c r="F13" i="133"/>
  <c r="M13" i="133"/>
  <c r="G13" i="133"/>
  <c r="C13" i="133"/>
  <c r="D13" i="115" s="1"/>
  <c r="H13" i="133"/>
  <c r="K13" i="133"/>
  <c r="I13" i="133"/>
  <c r="D13" i="133"/>
  <c r="L13" i="133"/>
  <c r="J13" i="133"/>
  <c r="E13" i="133"/>
  <c r="J12" i="133"/>
  <c r="E12" i="133"/>
  <c r="K12" i="133"/>
  <c r="L12" i="133"/>
  <c r="F12" i="133"/>
  <c r="C12" i="133"/>
  <c r="D12" i="115" s="1"/>
  <c r="M12" i="133"/>
  <c r="G12" i="133"/>
  <c r="H12" i="133"/>
  <c r="I12" i="133"/>
  <c r="E11" i="133"/>
  <c r="F11" i="133"/>
  <c r="D11" i="133"/>
  <c r="K10" i="133"/>
  <c r="F10" i="133"/>
  <c r="G10" i="133"/>
  <c r="M10" i="133"/>
  <c r="H10" i="133"/>
  <c r="E10" i="133"/>
  <c r="I10" i="133"/>
  <c r="D10" i="133"/>
  <c r="L10" i="133"/>
  <c r="J10" i="133"/>
  <c r="G7" i="13"/>
  <c r="K7" i="133"/>
  <c r="E7" i="133"/>
  <c r="M7" i="133"/>
  <c r="F7" i="133"/>
  <c r="D7" i="133"/>
  <c r="L7" i="133"/>
  <c r="J7" i="133"/>
  <c r="I7" i="133"/>
  <c r="G7" i="133"/>
  <c r="H7" i="133"/>
  <c r="M31" i="133"/>
  <c r="H31" i="133"/>
  <c r="D31" i="133"/>
  <c r="J31" i="133"/>
  <c r="G31" i="133"/>
  <c r="E31" i="133"/>
  <c r="F31" i="133"/>
  <c r="L31" i="133"/>
  <c r="K31" i="133"/>
  <c r="I31" i="133"/>
  <c r="C31" i="133"/>
  <c r="D39" i="115" s="1"/>
  <c r="D38" i="133"/>
  <c r="L6" i="133"/>
  <c r="E6" i="133"/>
  <c r="M6" i="133"/>
  <c r="K6" i="133"/>
  <c r="J6" i="133"/>
  <c r="G6" i="133"/>
  <c r="F6" i="133"/>
  <c r="I6" i="133"/>
  <c r="D6" i="133"/>
  <c r="H6" i="133"/>
  <c r="G10" i="85"/>
  <c r="G4" i="10"/>
  <c r="G11" i="93"/>
  <c r="G11" i="89"/>
  <c r="G9" i="80"/>
  <c r="G18" i="83"/>
  <c r="G27" i="100"/>
  <c r="G37" i="101"/>
  <c r="G23" i="102"/>
  <c r="G13" i="54"/>
  <c r="G7" i="94"/>
  <c r="G14" i="95"/>
  <c r="G9" i="75"/>
  <c r="G14" i="81"/>
  <c r="G16" i="21"/>
  <c r="G6" i="88"/>
  <c r="G22" i="7"/>
  <c r="G127" i="7" s="1"/>
  <c r="F49" i="133" l="1"/>
  <c r="C39" i="133"/>
  <c r="D37" i="115" s="1"/>
  <c r="C40" i="133"/>
  <c r="D38" i="115" s="1"/>
  <c r="J49" i="133"/>
  <c r="C35" i="133"/>
  <c r="D34" i="115" s="1"/>
  <c r="C33" i="133"/>
  <c r="D32" i="115" s="1"/>
  <c r="C32" i="133"/>
  <c r="D31" i="115" s="1"/>
  <c r="C29" i="133"/>
  <c r="D29" i="115" s="1"/>
  <c r="C25" i="133"/>
  <c r="D25" i="115" s="1"/>
  <c r="F25" i="115" s="1"/>
  <c r="C24" i="133"/>
  <c r="D22" i="115" s="1"/>
  <c r="C16" i="133"/>
  <c r="D15" i="115" s="1"/>
  <c r="D49" i="133"/>
  <c r="C11" i="133"/>
  <c r="D11" i="115" s="1"/>
  <c r="G49" i="133"/>
  <c r="C10" i="133"/>
  <c r="D10" i="115" s="1"/>
  <c r="C8" i="133"/>
  <c r="D8" i="115" s="1"/>
  <c r="C7" i="133"/>
  <c r="D6" i="115" s="1"/>
  <c r="M49" i="133"/>
  <c r="C4" i="133"/>
  <c r="D4" i="115" s="1"/>
  <c r="H49" i="133"/>
  <c r="L49" i="133"/>
  <c r="E49" i="133"/>
  <c r="K49" i="133"/>
  <c r="I49" i="133"/>
  <c r="C38" i="133"/>
  <c r="D36" i="115" s="1"/>
  <c r="C5" i="133"/>
  <c r="D5" i="115" s="1"/>
  <c r="C6" i="133"/>
  <c r="D7" i="115" s="1"/>
  <c r="C3" i="133"/>
  <c r="D3" i="115" s="1"/>
  <c r="F3" i="115" l="1"/>
  <c r="F31" i="115"/>
  <c r="G4" i="90"/>
  <c r="G13" i="90"/>
  <c r="G25" i="115" l="1"/>
  <c r="G31" i="115"/>
  <c r="G3" i="115"/>
  <c r="G19" i="90"/>
  <c r="C22" i="133" l="1"/>
  <c r="C49" i="133" l="1"/>
  <c r="C56" i="133" s="1"/>
  <c r="D56" i="133" s="1"/>
  <c r="F4" i="137" s="1"/>
  <c r="F12" i="137" s="1"/>
  <c r="D21" i="115"/>
  <c r="F9" i="115" s="1"/>
  <c r="D42" i="115"/>
  <c r="G4" i="137" l="1"/>
  <c r="G12" i="137" s="1"/>
  <c r="G14" i="137" s="1"/>
  <c r="G9" i="115"/>
  <c r="G42" i="115" s="1"/>
  <c r="F42" i="115"/>
  <c r="G17" i="137" l="1"/>
  <c r="G16" i="137"/>
  <c r="G15" i="137"/>
</calcChain>
</file>

<file path=xl/sharedStrings.xml><?xml version="1.0" encoding="utf-8"?>
<sst xmlns="http://schemas.openxmlformats.org/spreadsheetml/2006/main" count="3897" uniqueCount="1049">
  <si>
    <t>FMR</t>
  </si>
  <si>
    <t>Budget Head</t>
  </si>
  <si>
    <t>Particulars</t>
  </si>
  <si>
    <t>State</t>
  </si>
  <si>
    <t>Aizawl East</t>
  </si>
  <si>
    <t>Aizawl West</t>
  </si>
  <si>
    <t>Champhai</t>
  </si>
  <si>
    <t>Kolasib</t>
  </si>
  <si>
    <t>Lawngtlai</t>
  </si>
  <si>
    <t>Lunglei</t>
  </si>
  <si>
    <t>Mamit</t>
  </si>
  <si>
    <t>Siaha</t>
  </si>
  <si>
    <t>Serchhip</t>
  </si>
  <si>
    <t>PMSMA activities at State / District Level</t>
  </si>
  <si>
    <t>LaQshya Related activities</t>
  </si>
  <si>
    <t>TOTAL</t>
  </si>
  <si>
    <t>NUHM</t>
  </si>
  <si>
    <t>S.No</t>
  </si>
  <si>
    <t>Programme</t>
  </si>
  <si>
    <t>Salary</t>
  </si>
  <si>
    <t>Total</t>
  </si>
  <si>
    <t>EPI</t>
  </si>
  <si>
    <t>PNDT</t>
  </si>
  <si>
    <t>NIDDCP</t>
  </si>
  <si>
    <t>IEC</t>
  </si>
  <si>
    <t>MMU</t>
  </si>
  <si>
    <t>NAS</t>
  </si>
  <si>
    <t>Quality Assurance</t>
  </si>
  <si>
    <t>M&amp;E</t>
  </si>
  <si>
    <t>PMNDP</t>
  </si>
  <si>
    <t>HWC</t>
  </si>
  <si>
    <t>NPPCD</t>
  </si>
  <si>
    <t>NPPC</t>
  </si>
  <si>
    <t>SBC</t>
  </si>
  <si>
    <t>Grievance Redressal</t>
  </si>
  <si>
    <t>IDSP</t>
  </si>
  <si>
    <t>NLEP</t>
  </si>
  <si>
    <t>NVBDCP</t>
  </si>
  <si>
    <t>NTEP</t>
  </si>
  <si>
    <t>NRCP</t>
  </si>
  <si>
    <t>NMHP</t>
  </si>
  <si>
    <t>NPCDCS</t>
  </si>
  <si>
    <t>NPHCE</t>
  </si>
  <si>
    <t>NTCP</t>
  </si>
  <si>
    <t>Diet Services for JSSK Beneficiaries (3 Days for Normal Delivery)</t>
  </si>
  <si>
    <t>Diet Services for JSSK Beneficiaries (7 Days for Caesarean)</t>
  </si>
  <si>
    <t>Blood Transfusion for JSSK Beneficiaries</t>
  </si>
  <si>
    <t>Beneficiary Compensation under Janani Suraksha Yojana (JSY) - Rural</t>
  </si>
  <si>
    <t>Beneficiary Compensation under Janani Suraksha Yojana (JSY) - Urban</t>
  </si>
  <si>
    <t>Beneficiary Compensation under FP services - Compensation for Female Sterilization  (Public Institutions)</t>
  </si>
  <si>
    <t>Beneficiary Compensation under FP services - Compensation for Female Sterilization  (Private Institutions)</t>
  </si>
  <si>
    <t xml:space="preserve">Beneficiary Compensation under FP services - Compensation for Male Sterilization  </t>
  </si>
  <si>
    <t xml:space="preserve">Beneficiary Compensation under FP services - Compensation for IUCD Insertion  </t>
  </si>
  <si>
    <t xml:space="preserve">Beneficiary Compensation under FP services - Compensation for PPIUCD Services  </t>
  </si>
  <si>
    <t xml:space="preserve">Beneficiary Compensation under FP services - Compensation for PAIUCD Services  </t>
  </si>
  <si>
    <t>Family Planning Indemnity Scheme (FPIS)</t>
  </si>
  <si>
    <t>Operating expenses for SNCU</t>
  </si>
  <si>
    <t>Operating expenses for NBSU</t>
  </si>
  <si>
    <t>Operating expenses for NBCC</t>
  </si>
  <si>
    <t>POL for family Planning / Others</t>
  </si>
  <si>
    <t>Monthly Villgae Health &amp; Nutrition Day</t>
  </si>
  <si>
    <t>Line listing and follow up of severely anaemic women</t>
  </si>
  <si>
    <t>JSY Incentive to ASHA (Rural)</t>
  </si>
  <si>
    <t>JSY Incentive to ASHA (Urban)</t>
  </si>
  <si>
    <t xml:space="preserve">MVA/EVA for Safe Abortion services </t>
  </si>
  <si>
    <t>Procurement of equipments for SNCU</t>
  </si>
  <si>
    <t>Drugs and Consumables under JSSK (Normal Delivery)</t>
  </si>
  <si>
    <t>Drugs and Consumables under JSSK (C Section)</t>
  </si>
  <si>
    <t>Drugs and Consumables under JSSK (Child)</t>
  </si>
  <si>
    <t>Free Diagnostics for Pregnant Women (JSSK)</t>
  </si>
  <si>
    <t>Free Diagnostics for Sick Infants (JSSK)</t>
  </si>
  <si>
    <t>Free Referral Transport for Pregnant women (JSSK)</t>
  </si>
  <si>
    <t>Free Referral Transport for Sick Infants (JSSK)</t>
  </si>
  <si>
    <t>Orientation on National Deworming Day</t>
  </si>
  <si>
    <t>Training of MO on PPIUCD</t>
  </si>
  <si>
    <t>Training of PPIUCD for SN/ANM/LHV</t>
  </si>
  <si>
    <t>Minilap training for MO</t>
  </si>
  <si>
    <t>Maternal Death Review</t>
  </si>
  <si>
    <t>Child Death Review</t>
  </si>
  <si>
    <t>Media activities under National Deworming Day</t>
  </si>
  <si>
    <t>IEC under MAA</t>
  </si>
  <si>
    <t>IEC under SAANS</t>
  </si>
  <si>
    <t>World Population Fortnight celebration</t>
  </si>
  <si>
    <t>Observation of World Vasectomy Fortnight</t>
  </si>
  <si>
    <t>Printing of MDR Format</t>
  </si>
  <si>
    <t>Printing of MCP cards</t>
  </si>
  <si>
    <t>Printing of Labour room registers and case-sheets</t>
  </si>
  <si>
    <t>Printing of CDR Formats</t>
  </si>
  <si>
    <t>Printing of IEC materials and monitoring formats for National deworming Day</t>
  </si>
  <si>
    <t>Printing of format for SNCU</t>
  </si>
  <si>
    <t xml:space="preserve">Printing of IUCD cards, MPA cards, FP manuals &amp; guidelines, etc </t>
  </si>
  <si>
    <t>FP Indemnity Scheme meeting</t>
  </si>
  <si>
    <t>Mobily Support for SPMU/State</t>
  </si>
  <si>
    <t>SNCU Data Management</t>
  </si>
  <si>
    <t>JSY Administrative expenses</t>
  </si>
  <si>
    <t>Inspection/Supervisory visit for NOHP centres</t>
  </si>
  <si>
    <t>Outreach activities :
Oral Health Camp &amp; Oral Cancer Screening</t>
  </si>
  <si>
    <t>Training of Medical Officers, Dental Surgeons, Health Workers and School Teachers.</t>
  </si>
  <si>
    <t>IEC/BCC</t>
  </si>
  <si>
    <t>Printing</t>
  </si>
  <si>
    <t>Procurement of Dental equipments and Accessories</t>
  </si>
  <si>
    <t>Consumables</t>
  </si>
  <si>
    <t>Recurring grant for collection of eye balls by eye bank and eye donation centre</t>
  </si>
  <si>
    <t>Screening and Free Spectacles for near work to old person @ Rs.350/- per case</t>
  </si>
  <si>
    <t>Grant in Aid for Vision Centre</t>
  </si>
  <si>
    <t>Training of PMOA under NPCB&amp;VI</t>
  </si>
  <si>
    <t>Re-imbursement for cataract operation for NGO and private practitioners as per NGO norms @ Rs.2000/-</t>
  </si>
  <si>
    <t>Diabetic Retinopathy @ Rs.2000/-</t>
  </si>
  <si>
    <t>Glaucoma @ Rs. 2000/-</t>
  </si>
  <si>
    <t>Keratoplasty @ Rs.7500/-</t>
  </si>
  <si>
    <t>Management of State &amp; District Health Society</t>
  </si>
  <si>
    <t>Assistance for consumables/drugs/medicines to the Govt./District Hospital for Cat sx etc</t>
  </si>
  <si>
    <t>State level IEC for Minor State @ Rs. 10 lakh and for Major States @ Rs. 20 lakh under NPCB&amp;VI</t>
  </si>
  <si>
    <t>IUCD Insertion training for SN/LHV/ANM</t>
  </si>
  <si>
    <t>IEC under FP</t>
  </si>
  <si>
    <t>DVDMS</t>
  </si>
  <si>
    <t>Inspection, zmspping snd Surveillance of Ultrasound Centres.</t>
  </si>
  <si>
    <t>IEC/SC/IPC</t>
  </si>
  <si>
    <t>Drugs</t>
  </si>
  <si>
    <t>Monitoring &amp; Supervision</t>
  </si>
  <si>
    <t>Procurement</t>
  </si>
  <si>
    <t>Training</t>
  </si>
  <si>
    <t>Drugs &amp; Consumables @ Rs 0.25 lakh per centre x 9</t>
  </si>
  <si>
    <t>Recurring Operational Grant (BCTV)</t>
  </si>
  <si>
    <t>Drugs &amp; Supplies for Blood Services</t>
  </si>
  <si>
    <t>Training at Higher Centre &amp;Training of BBOs,MOs,LTs</t>
  </si>
  <si>
    <t>Training of DEOs &amp; Lab Tech</t>
  </si>
  <si>
    <t>IEC-Day Observance, VBD,Wall writing &amp; TV Spots</t>
  </si>
  <si>
    <t>Printing of Screening Card - Hemoglobinopathies@RS.10</t>
  </si>
  <si>
    <t>Printing of Leaflets on Hemoglobinopathies@Rs.10</t>
  </si>
  <si>
    <t>e-Rakt Kosh Strengthening- Internet Facility</t>
  </si>
  <si>
    <t>Incentive for peer educator/ support under NVHCP</t>
  </si>
  <si>
    <t>Non- recurring -Procurement of office equipment for DTC</t>
  </si>
  <si>
    <t>Drugs Warehouse &amp; LogisticsTransport of Samples for Viral Load Testing/Drugs etc</t>
  </si>
  <si>
    <t>c.       Recurring ; Consumables (plasticware, RUP, evacuated vacuum tubes, waste disposal bags, Kit for HBsAg titre, grant for callibration of small equipment, money for EQAS)</t>
  </si>
  <si>
    <t>Tartgeted Intervention</t>
  </si>
  <si>
    <t>Equipments</t>
  </si>
  <si>
    <t>Ambulatory Services</t>
  </si>
  <si>
    <t>Translation of IEC materials and distribution</t>
  </si>
  <si>
    <t>Awareness generation activitives</t>
  </si>
  <si>
    <t>PPP under NMHP</t>
  </si>
  <si>
    <t>Miscellaneous</t>
  </si>
  <si>
    <t>Operational expenses</t>
  </si>
  <si>
    <t>IFA Tablets for Pregnant &amp; Lactating Mothers</t>
  </si>
  <si>
    <t>IEC under maternal Health</t>
  </si>
  <si>
    <t>NAS (State basic ambulance/Dial 102)</t>
  </si>
  <si>
    <t>Call Centre - OPEX</t>
  </si>
  <si>
    <t>MMU (OPEX)</t>
  </si>
  <si>
    <t>Drugs under IDCF - ORS</t>
  </si>
  <si>
    <t>Drugs under IDCF - Zinc Tablet</t>
  </si>
  <si>
    <t>Procurement of medicines &amp; consumables</t>
  </si>
  <si>
    <t>Sensitization for College Students</t>
  </si>
  <si>
    <t>Training of PRI's representstives etc</t>
  </si>
  <si>
    <t>Enforcement Squad drives</t>
  </si>
  <si>
    <t>Aizawl</t>
  </si>
  <si>
    <t>District NCD Clinic @ Rs. 0.15 lakh x 8 centres</t>
  </si>
  <si>
    <t>CHC NCD Clinic @ Rs. 0.05 lakh x 11 centres</t>
  </si>
  <si>
    <t>CHC NCD Clinics @ Rs.0.15 lakh per centre x 11 centres</t>
  </si>
  <si>
    <t>Sub-centre level @ Rs.0.05 per centre x 370 centres</t>
  </si>
  <si>
    <t>State NCD Cell</t>
  </si>
  <si>
    <t>District NCD Cells @ Rs. 0.5 lakh per centre x 8 centres</t>
  </si>
  <si>
    <t>Patient referral cards at Sub-centre level @ Rs. 0.01 lakh per centre x 370 centres</t>
  </si>
  <si>
    <t>District NCD Cell  @ Rs.0.50 lakh per centre x 8 centres</t>
  </si>
  <si>
    <t>Procurement for Universal Screening of NCDs</t>
  </si>
  <si>
    <t>Training for Universal Screening of NCDs</t>
  </si>
  <si>
    <t>IEC for Universal Screening of NCDs</t>
  </si>
  <si>
    <t>Printing activities for Universal Screening of NCDs</t>
  </si>
  <si>
    <t>AW</t>
  </si>
  <si>
    <t>IEC/ BCC activities under NTCP</t>
  </si>
  <si>
    <t>Printing of Challan Books under NTCP</t>
  </si>
  <si>
    <t>Procurement of Laboratory Equipment &amp; Materials : This is for conducting quantitative analysis of salt &amp; urine as per Guidelines.</t>
  </si>
  <si>
    <t>Supply of salt testing kit</t>
  </si>
  <si>
    <t>IDD Survey/Re-Surveys @ Rs 55,000 for 2 Districts</t>
  </si>
  <si>
    <t>Management of IDD Monitoring Laboratory</t>
  </si>
  <si>
    <t xml:space="preserve">Consumables for computer including provision for internet access </t>
  </si>
  <si>
    <t>Pulse polio operational cost</t>
  </si>
  <si>
    <t>Focus on slum &amp; underserved areas in urban areas/alternate vaccinators for slums</t>
  </si>
  <si>
    <t>ASHA Incentive under Immunization</t>
  </si>
  <si>
    <t>Mobilization of Children through ASHA or other mobilizers</t>
  </si>
  <si>
    <t>Vitamin A Solution</t>
  </si>
  <si>
    <t>Red/Black plastic bags etc.</t>
  </si>
  <si>
    <t>Hub Cutter/Bleach/Hypochlorite solution/ Twin bucket</t>
  </si>
  <si>
    <t xml:space="preserve">Training under Immunization </t>
  </si>
  <si>
    <t>Printing and dissemination of Immunization cards, tally sheet, monitoring forms etc</t>
  </si>
  <si>
    <t xml:space="preserve">Alternative vaccine delivery in hard to reach areas </t>
  </si>
  <si>
    <t>Alternative vaccine delivery in very hard to reach areas esp. notified by States/districts</t>
  </si>
  <si>
    <t>POL for vaccine delivery from State to district and from district to PHC/CHCs</t>
  </si>
  <si>
    <t xml:space="preserve">Cold chain maintenance </t>
  </si>
  <si>
    <t>To develop microplan at sub-centre level</t>
  </si>
  <si>
    <t>For consolidation of micro plans at block level</t>
  </si>
  <si>
    <t xml:space="preserve">Support for Quarterly State level review meetings of district officer </t>
  </si>
  <si>
    <t xml:space="preserve">Quarterly review meetings exclusive for RI at district level with Block MOs, CDPO, and other stake holders </t>
  </si>
  <si>
    <t>Quarterly review meetings exclusive for RI at block level</t>
  </si>
  <si>
    <t>Mobility support for supervision at State level</t>
  </si>
  <si>
    <t>Mobility Support for supervision for district level officers.</t>
  </si>
  <si>
    <t>Operational Expenses of UPHCs</t>
  </si>
  <si>
    <t>Mobility Support for ANM</t>
  </si>
  <si>
    <t>UHND</t>
  </si>
  <si>
    <t>Special Outreach Camp</t>
  </si>
  <si>
    <t>Others( sanitation worker screening)</t>
  </si>
  <si>
    <t>ASHA Incentives</t>
  </si>
  <si>
    <t>ASHA training</t>
  </si>
  <si>
    <t>Training of MAS</t>
  </si>
  <si>
    <t>Untied Grants to UPHC (Govt.Building)</t>
  </si>
  <si>
    <t>Untied Grants to UPHC (Rented Building)</t>
  </si>
  <si>
    <t>Untied Grants to MAS</t>
  </si>
  <si>
    <t>ANM</t>
  </si>
  <si>
    <t>Staff Nurse</t>
  </si>
  <si>
    <t>Lab technicians</t>
  </si>
  <si>
    <t>Pharmacist</t>
  </si>
  <si>
    <t>MO</t>
  </si>
  <si>
    <t>Public Health manager</t>
  </si>
  <si>
    <t>Support staff</t>
  </si>
  <si>
    <t>DEO cum Accounts Clerk</t>
  </si>
  <si>
    <t>Specialist</t>
  </si>
  <si>
    <t>Training/ Oreintation of ANM and other Paramedical Staff</t>
  </si>
  <si>
    <t>Training of RKS</t>
  </si>
  <si>
    <t>Training on Quality Assurance</t>
  </si>
  <si>
    <t>Training on NUHM Module</t>
  </si>
  <si>
    <t>Awareness and facility level Training on Swachha Bharat Abhiyan</t>
  </si>
  <si>
    <t>quality Assurance Implementation</t>
  </si>
  <si>
    <t>Kayakalp Awards</t>
  </si>
  <si>
    <t xml:space="preserve">kayakalp assessment </t>
  </si>
  <si>
    <t>mobility Support for SPMU</t>
  </si>
  <si>
    <t>mobility Support for DPMU</t>
  </si>
  <si>
    <t>Administrative expenses  for SPMU</t>
  </si>
  <si>
    <t>Administrative expenses  for DPMU</t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</si>
  <si>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</si>
  <si>
    <t>Dengue and Chikungunya Case Management</t>
  </si>
  <si>
    <t>Special Malaria Intervention for High Risk Group for Tribal population for hard to reach are to control prevent resugence of Malaria</t>
  </si>
  <si>
    <t>ASHA Incentives Honorarium for Malaria</t>
  </si>
  <si>
    <t>Operational Cost for Spray Wages</t>
  </si>
  <si>
    <t>Operational Cost for IRS</t>
  </si>
  <si>
    <t>Operationa Cost for Impregnation of Bed-Nets for NE State</t>
  </si>
  <si>
    <t>Biological and Environmental Management through VHSNC</t>
  </si>
  <si>
    <t>Dengue and Chikungunya : Vector Control, Environmental Management Fogging Machine</t>
  </si>
  <si>
    <t>Non Health Equiptment (NHP)-GFATM</t>
  </si>
  <si>
    <t>Quinine sulphate tablets</t>
  </si>
  <si>
    <t>Quinine Injections and Artesunate Injection</t>
  </si>
  <si>
    <t>RDT Malaria – bi-valent (For Non Project states)</t>
  </si>
  <si>
    <t>Any others</t>
  </si>
  <si>
    <t>Training / Capacity Building</t>
  </si>
  <si>
    <t>Sentinel Surveilance Hospital Recurrence</t>
  </si>
  <si>
    <t>IEC/ BCC for Malaria</t>
  </si>
  <si>
    <t>GFATM Review Meeting</t>
  </si>
  <si>
    <t>Monitoring, Evaluation and Supervision</t>
  </si>
  <si>
    <t>GFATM Project Travel Related Cost (TRC) - Mobility</t>
  </si>
  <si>
    <t>Vehicle Maintenance</t>
  </si>
  <si>
    <t>Human Resource (State)</t>
  </si>
  <si>
    <t>Activity</t>
  </si>
  <si>
    <t>State and District task force on malaria elimination</t>
  </si>
  <si>
    <t>Calcium tablets &amp; Vit D3 Tab</t>
  </si>
  <si>
    <t>Training of Medical Officers</t>
  </si>
  <si>
    <t>Training of MPWs</t>
  </si>
  <si>
    <t>Mobility support for State Surveillance Unit (SSU)</t>
  </si>
  <si>
    <t>Mobility Support for District Surveillance Unit (DSU)</t>
  </si>
  <si>
    <t>Operational Costs</t>
  </si>
  <si>
    <t>Provision of ARV &amp; ARS 
(under free diagnostic services of NHM)</t>
  </si>
  <si>
    <t>IEC Activities</t>
  </si>
  <si>
    <t xml:space="preserve">Signage for Health Facilities </t>
  </si>
  <si>
    <t>a.       Recurring : Drugs</t>
  </si>
  <si>
    <t>b.      Recurring : Kits</t>
  </si>
  <si>
    <t>a.       3 Days Training of Medical Officers of TC</t>
  </si>
  <si>
    <t>Printing under RBSK</t>
  </si>
  <si>
    <t>Incentives for Home Based Care for Young Child (HBYC)</t>
  </si>
  <si>
    <t>ASHA PPIUCD incentive for accompanying the client for PPIUCD insertion</t>
  </si>
  <si>
    <t>PAIUCD</t>
  </si>
  <si>
    <t>ASHA incentive under ESB scheme for promoting spacing of births</t>
  </si>
  <si>
    <t>ASHA Incentive under ESB scheme for promoting adoption of limiting method upto two children</t>
  </si>
  <si>
    <t xml:space="preserve">NIOS CERTIFICATION </t>
  </si>
  <si>
    <t xml:space="preserve">Refresher Training for ASHA Mobilizers (Facilitators) </t>
  </si>
  <si>
    <t xml:space="preserve">Supervision costs  by ASHA facilitators, Mobility support for District ASHA coordinators (12 months) and State Supportive supervision </t>
  </si>
  <si>
    <t xml:space="preserve">Review Meeting at PHC Quarterly for ASHA and ASHA Facilitators </t>
  </si>
  <si>
    <t>Printing of Home Based New born Care (HBNC) report form</t>
  </si>
  <si>
    <t>Printing of Home Based Care for Young Child (HBYC) report form</t>
  </si>
  <si>
    <t>District Hospital</t>
  </si>
  <si>
    <t>Sub District Hospital</t>
  </si>
  <si>
    <t>Community Health Centre</t>
  </si>
  <si>
    <t>Primary Health Centre</t>
  </si>
  <si>
    <t>Sub Centre</t>
  </si>
  <si>
    <t>VHSNC</t>
  </si>
  <si>
    <t>Others (Sub Centre Clinics)</t>
  </si>
  <si>
    <t xml:space="preserve">ASHA involvement under NLEP </t>
  </si>
  <si>
    <t>Aids/Appliance</t>
  </si>
  <si>
    <t>Trainings under NLEP (Capacity Building)</t>
  </si>
  <si>
    <t xml:space="preserve">Travel Expenses – Contractual Staff at State Level </t>
  </si>
  <si>
    <t xml:space="preserve">Mobility support ( State cell) </t>
  </si>
  <si>
    <t xml:space="preserve">NLEP Review Meetings </t>
  </si>
  <si>
    <t xml:space="preserve">Office Operation &amp; Maintenance – State Cell </t>
  </si>
  <si>
    <t xml:space="preserve">State Cell – Consumables </t>
  </si>
  <si>
    <t xml:space="preserve">Office Operation &amp; Maintenance – District Cell </t>
  </si>
  <si>
    <t xml:space="preserve">Consumables  - District Cell </t>
  </si>
  <si>
    <t xml:space="preserve">Others – Travel Expenses for Regular Staff </t>
  </si>
  <si>
    <t xml:space="preserve">IEC/BCC activities under NLEP </t>
  </si>
  <si>
    <t xml:space="preserve">Printing activities Under NLEP </t>
  </si>
  <si>
    <t>LTBI</t>
  </si>
  <si>
    <t>Nutritional support</t>
  </si>
  <si>
    <t>Honorarium CAT I</t>
  </si>
  <si>
    <t>Honorarium CAT IV&amp;V</t>
  </si>
  <si>
    <t>State/Dist. TB Forum</t>
  </si>
  <si>
    <t>Community engagement</t>
  </si>
  <si>
    <t>Civil works</t>
  </si>
  <si>
    <t>Procurement of Equipment</t>
  </si>
  <si>
    <t>Equipment Maintenance</t>
  </si>
  <si>
    <t>Laboratory Materials</t>
  </si>
  <si>
    <t xml:space="preserve"> </t>
  </si>
  <si>
    <t>Procurement sleeves and drug boxes</t>
  </si>
  <si>
    <t>Tribal Patient Support</t>
  </si>
  <si>
    <t>Budget for sample transportation, travel cost to presumptive TB or DR-TB patient</t>
  </si>
  <si>
    <t>Trainings under NTEP</t>
  </si>
  <si>
    <t>CME at Medical College</t>
  </si>
  <si>
    <t>Research Studies (OR)</t>
  </si>
  <si>
    <t>ACSM</t>
  </si>
  <si>
    <t>TB Harega Desh Jeetega Campaign</t>
  </si>
  <si>
    <t>Printing ACSM</t>
  </si>
  <si>
    <t>Drug transportation charges</t>
  </si>
  <si>
    <t>NGO/PP</t>
  </si>
  <si>
    <t>PPSA</t>
  </si>
  <si>
    <t>Private Provider incentives</t>
  </si>
  <si>
    <t>Supervision and monitoring</t>
  </si>
  <si>
    <t>Vehicle Hiring</t>
  </si>
  <si>
    <t>Office Operation</t>
  </si>
  <si>
    <t>Grand TOTAL</t>
  </si>
  <si>
    <t>District Level Coordination Meeting on SHP</t>
  </si>
  <si>
    <t>State Level Convergence Meeting on SHP</t>
  </si>
  <si>
    <t>G TOTAL</t>
  </si>
  <si>
    <t>Procurement of drugs for AB-HWCs</t>
  </si>
  <si>
    <t>Independent monitoring cost for performance assessment of HWCs</t>
  </si>
  <si>
    <t>G.Total</t>
  </si>
  <si>
    <t>Independent Monitoring Cost @ 1.5%</t>
  </si>
  <si>
    <t>BeMOC Training for MO</t>
  </si>
  <si>
    <t>Orientation and capacity building for SUMAN</t>
  </si>
  <si>
    <t>Support for Implementation (Transversing gaps)</t>
  </si>
  <si>
    <t>Kayakalp Assessment</t>
  </si>
  <si>
    <t>Contingencies</t>
  </si>
  <si>
    <t>Swachhata Forthnight</t>
  </si>
  <si>
    <t>Review Meeting (State)</t>
  </si>
  <si>
    <t>Review Meeting (District)</t>
  </si>
  <si>
    <t>Training cum Review  at State Level</t>
  </si>
  <si>
    <t>Training cum Review  at District Level</t>
  </si>
  <si>
    <t>Training cum Review  at Block Level</t>
  </si>
  <si>
    <t>Printing of HMIS format</t>
  </si>
  <si>
    <t>Civil Registration</t>
  </si>
  <si>
    <t>Operational cost for HMIS &amp; MCTS</t>
  </si>
  <si>
    <t>Mobility Support</t>
  </si>
  <si>
    <t>Trainings on Climate Change &amp; Human Health</t>
  </si>
  <si>
    <t>Printing under Climate Change</t>
  </si>
  <si>
    <t>Maintenance of biomedical equipments (BMMP)</t>
  </si>
  <si>
    <t>Procurement of essential drugs (FDSI)</t>
  </si>
  <si>
    <t>Procurement of pathological diagnostics (FDI)</t>
  </si>
  <si>
    <t>PPP</t>
  </si>
  <si>
    <t>Innovations</t>
  </si>
  <si>
    <t>Sub National Disease Free Certification</t>
  </si>
  <si>
    <t>Monthly meeting with Hospital staffs, Weekly FGD with Tobacco User</t>
  </si>
  <si>
    <t>DTCC: Misc./ Office Expenses / Joint Monitoring Visits (TB-Tobacco Distrcits )/Monitoring Committee on Section 5/DTCC-Mobility Support/District Level Coordination Committee</t>
  </si>
  <si>
    <t>TCC-Office Expenses / TCC-Mobility Support</t>
  </si>
  <si>
    <t>STCC-Misc./Office Expenses / Joint Monitoring Visits (TB-Tobacco State)/State Level Coordination Committee</t>
  </si>
  <si>
    <t>Equipment for Day Care Centre</t>
  </si>
  <si>
    <t>PMJJY &amp; PMSBY (Social Security scheme)</t>
  </si>
  <si>
    <t>Supplementary / refresher / Other Training for ASHAs</t>
  </si>
  <si>
    <t>Kayakalp Training</t>
  </si>
  <si>
    <t>Screening of Gestational Diabetes Mellitus</t>
  </si>
  <si>
    <t>Equipments for  Syphilis/Syphilis &amp; HIV Dual Kit in Pregnancy</t>
  </si>
  <si>
    <t>CAC</t>
  </si>
  <si>
    <t>Training of CHOs/ HWOs on expanded range of services</t>
  </si>
  <si>
    <t>Printing of Micronutrient Supplementation Programme (for AMB &amp; Vit.A supplementation programmes)</t>
  </si>
  <si>
    <t>Mission parivar Vikas - Incentivizing beneficiary @ Rs. 100/ dose received</t>
  </si>
  <si>
    <t>Mission parivar Vikas - MPV Campaigns</t>
  </si>
  <si>
    <t>Mission parivar Vikas - Advocacy and Inter-sectoral Convergence</t>
  </si>
  <si>
    <t>Procurement for Skill Station</t>
  </si>
  <si>
    <t>Janani Shishu Suraksha Karyakram (JSSK) (excluding transport)</t>
  </si>
  <si>
    <t>Others including operating costs(OOC)</t>
  </si>
  <si>
    <t>Diagnostics (Consumables, PPP, Sample Transport)</t>
  </si>
  <si>
    <t>Janani Shishu Suraksha Karyakram (JSSK) - transport</t>
  </si>
  <si>
    <t>Pradhan Mantri Surakshit Matritva Abhiyan (PMSMA)</t>
  </si>
  <si>
    <t>Printing of Integrated RCH Register</t>
  </si>
  <si>
    <t>Printing of Monthly Tracking Format (MCTS)</t>
  </si>
  <si>
    <t>LaQshya</t>
  </si>
  <si>
    <t>Surakshit Matritva Aashwasan (SUMAN)</t>
  </si>
  <si>
    <t>Janani Suraksha Yojana (JSY)</t>
  </si>
  <si>
    <t>Sterilization - Female</t>
  </si>
  <si>
    <t>MPV(Mission Parivar Vikas)</t>
  </si>
  <si>
    <t>IUCD Insertion (PPIUCD and PAIUCD)</t>
  </si>
  <si>
    <t>FPIS</t>
  </si>
  <si>
    <t>Other Family Planning Components</t>
  </si>
  <si>
    <t>Village Health &amp; Nutrition Day (VHND)</t>
  </si>
  <si>
    <t>Pregnancy Registration and Ante-Natal Checkups</t>
  </si>
  <si>
    <t>Comprehensive Abortion Care</t>
  </si>
  <si>
    <t>Intensified Diarrhoea Control Fortnight</t>
  </si>
  <si>
    <t>SAANS</t>
  </si>
  <si>
    <t>Orientation on Intensified Diarrhoea Control Fortnight (IDCF)</t>
  </si>
  <si>
    <t>Launching of SAANS (World Pneumonia Day)</t>
  </si>
  <si>
    <t>National Deworming Day</t>
  </si>
  <si>
    <t>Other MH Components</t>
  </si>
  <si>
    <t>Implementation of RCH Portal/ANMOL/MCTS</t>
  </si>
  <si>
    <t>Mother's Absolute Affection (MAA)</t>
  </si>
  <si>
    <t>DBT</t>
  </si>
  <si>
    <t>Equipment (Including Furniture, Excluding Computers)</t>
  </si>
  <si>
    <t>ASHA incentives</t>
  </si>
  <si>
    <t>Infrastructure - Civil works (I&amp;C)</t>
  </si>
  <si>
    <t>Capacity building incl. training</t>
  </si>
  <si>
    <t>IEC &amp; Printing</t>
  </si>
  <si>
    <t>Coverage of Public Schools &amp; Private Schools</t>
  </si>
  <si>
    <t>Trainings under NTCP at District level</t>
  </si>
  <si>
    <t>Trainings under NTCP at State level</t>
  </si>
  <si>
    <t>Printing of IEC/ BCC for TB-Tobacco</t>
  </si>
  <si>
    <t>Capacity Building incl. training</t>
  </si>
  <si>
    <t>Budget for Procurement done by State</t>
  </si>
  <si>
    <t>IEC&amp;Printing</t>
  </si>
  <si>
    <t>Others including operating costs (OOC)</t>
  </si>
  <si>
    <t>Equipment</t>
  </si>
  <si>
    <t>Others including operating costs</t>
  </si>
  <si>
    <t>Capacity including training</t>
  </si>
  <si>
    <t>Monitoring &amp; Evaluation</t>
  </si>
  <si>
    <t>Baseline survey for mental health</t>
  </si>
  <si>
    <t>Planing &amp; M&amp;E</t>
  </si>
  <si>
    <t>Surveillance, Research, Review, Evaluation (SRRE)</t>
  </si>
  <si>
    <t>TOT on IMNCI</t>
  </si>
  <si>
    <t>TOT on F-IMNCI</t>
  </si>
  <si>
    <t>2 weeks observership for FBNC</t>
  </si>
  <si>
    <t>State Level IEC &amp; Leaflets Printing</t>
  </si>
  <si>
    <t>Equipment (including furniture, excluding computer)</t>
  </si>
  <si>
    <t>Capacity (building including training)</t>
  </si>
  <si>
    <t>Stakeholder Meeting &amp; Review Meeting, Training</t>
  </si>
  <si>
    <t>IEC and Printing</t>
  </si>
  <si>
    <t>Communication: Home Based Visit</t>
  </si>
  <si>
    <t>Drugs (procurement done by State)</t>
  </si>
  <si>
    <t>Capacity building including Training</t>
  </si>
  <si>
    <t>Others including operating cost (OOC)</t>
  </si>
  <si>
    <t>Planning and M &amp; E</t>
  </si>
  <si>
    <t>Procurement of different equipment for conducting Delivery</t>
  </si>
  <si>
    <t>`</t>
  </si>
  <si>
    <t>MH</t>
  </si>
  <si>
    <t>FP</t>
  </si>
  <si>
    <t>CH</t>
  </si>
  <si>
    <t xml:space="preserve">Planning and Program Management </t>
  </si>
  <si>
    <t>NEWBORN STABILIZATION UNIT TRAINING FOR MEDICAL OFFICERS</t>
  </si>
  <si>
    <t>NEWBORN STABILIZATION UNIT TRAINING FOR NBSU NURSES</t>
  </si>
  <si>
    <t>Implementation of IDSP</t>
  </si>
  <si>
    <t xml:space="preserve"> Capacity building incl. training</t>
  </si>
  <si>
    <t>Adolescent Friendly Health Cinincs</t>
  </si>
  <si>
    <t>Weekly Iron folic supplementation (WIFS)</t>
  </si>
  <si>
    <t>Procurement of ifa</t>
  </si>
  <si>
    <t>Procurement of Albendazole</t>
  </si>
  <si>
    <t>Peer Educator Programme</t>
  </si>
  <si>
    <t>Planning &amp; M&amp; E</t>
  </si>
  <si>
    <t>School Health Programme</t>
  </si>
  <si>
    <t>GRAND TOTAL</t>
  </si>
  <si>
    <t>Rashtriya Bal Swasthya Karyakram (RBSK)</t>
  </si>
  <si>
    <t xml:space="preserve"> Budget for RBSK Surgical Packages</t>
  </si>
  <si>
    <t>Planning &amp;M &amp; E</t>
  </si>
  <si>
    <t>Mobility Support for Hiring of Vehicle for existing RBSK Mobile Health Teams</t>
  </si>
  <si>
    <t>Proposal for Daily Allowance for RBSK Mobile Health Teams for Visits requiring Overnight Halt</t>
  </si>
  <si>
    <t>Consumables under DEIC</t>
  </si>
  <si>
    <t>Equipments  Non-Consumables under DEIC</t>
  </si>
  <si>
    <t xml:space="preserve"> Printing of DEIC Register &amp; Cards</t>
  </si>
  <si>
    <t>Procurement of DEIC Desktops</t>
  </si>
  <si>
    <t>Provision of Internet Connection under DEIC RBSK</t>
  </si>
  <si>
    <t>Anaemia Mukt Bharat</t>
  </si>
  <si>
    <t>AMB ASHA Incentives for Mobilizing Children in the age group 6-60 Months</t>
  </si>
  <si>
    <t>Procurement of Test Strip for Digital Hemoglobinometer under AMB Strategy</t>
  </si>
  <si>
    <t>Procurement of IFA syrup and Junior Pink tablets under AMB Strategy</t>
  </si>
  <si>
    <t>Review Meeting of Anemia Mukt Bharat Steering Committee</t>
  </si>
  <si>
    <t>Budget for Procurement done by States</t>
  </si>
  <si>
    <t>Planning &amp; M &amp; E</t>
  </si>
  <si>
    <t>SQAU Monitoring and Supervision</t>
  </si>
  <si>
    <t>Quality Assurance  certification and re-certification ( National and State)</t>
  </si>
  <si>
    <t>Quality Assurance  Training</t>
  </si>
  <si>
    <t>Implementation, management and salary of DVDMS</t>
  </si>
  <si>
    <t>Capacity building incl. Training</t>
  </si>
  <si>
    <t>Urban PHCs</t>
  </si>
  <si>
    <t>Others Including operating Cost</t>
  </si>
  <si>
    <t>Outreach Activities</t>
  </si>
  <si>
    <t>Capacity Building Including Training</t>
  </si>
  <si>
    <t>MAS</t>
  </si>
  <si>
    <t>Untied Fund</t>
  </si>
  <si>
    <t>Rumeration  for all NHM HR</t>
  </si>
  <si>
    <t>RKS</t>
  </si>
  <si>
    <t>Quality Assuarance Implementation and Mera Aspatal</t>
  </si>
  <si>
    <t>Kayakalp</t>
  </si>
  <si>
    <t>Planning and Programme Mangement</t>
  </si>
  <si>
    <t>State Specific Programme Innovation and Intervention</t>
  </si>
  <si>
    <t>Vitreoretinal Surgery @ Rs.10,000/-</t>
  </si>
  <si>
    <t>Budget for Procurem ent done by States</t>
  </si>
  <si>
    <t>Diagnostics (Consumable s, PPP, Sample Transport)</t>
  </si>
  <si>
    <t>Pulse Polio Campaign</t>
  </si>
  <si>
    <t>Scheme</t>
  </si>
  <si>
    <t>Components</t>
  </si>
  <si>
    <t>Category</t>
  </si>
  <si>
    <t>NCD.5</t>
  </si>
  <si>
    <t>NCD Clinics at DH</t>
  </si>
  <si>
    <t>Equipment (including Furniture, Excluding Computers)</t>
  </si>
  <si>
    <t>NCD Clinics at CHC/SDH</t>
  </si>
  <si>
    <t>Drugs &amp; supplies : Budget for procurement done by state</t>
  </si>
  <si>
    <t>Cardiac Care Unit(CCU/ICU) including STEMI</t>
  </si>
  <si>
    <t>Other NPCDCS Component</t>
  </si>
  <si>
    <t>Diagnostics(Consumables, PPP, Sample Transport)</t>
  </si>
  <si>
    <t>PHC Level @ Rs.0.05 lakh per centre x 60 centres</t>
  </si>
  <si>
    <t>Consumables for Universal Screening of NCDs 40 SC</t>
  </si>
  <si>
    <t>Capacity Building incl. Training</t>
  </si>
  <si>
    <t>Others including Operating Costs (OOC)</t>
  </si>
  <si>
    <t>District NCD Cell @ Rs.0. 25 lakh per district x 8 centres</t>
  </si>
  <si>
    <t>Patient referral cards at PHC Level @ Rs. 0.015 lakh per centre x 60 centres</t>
  </si>
  <si>
    <t xml:space="preserve">State NCD Cell : Monitoring </t>
  </si>
  <si>
    <t>State NCD Cell : TA/DA</t>
  </si>
  <si>
    <t>State NCD Cell : Contingency</t>
  </si>
  <si>
    <t>Component</t>
  </si>
  <si>
    <t>Geriatric Care at DH</t>
  </si>
  <si>
    <t>Geriatric Care at CHC/SDH</t>
  </si>
  <si>
    <t>Geriatric Care at PHC/SHC</t>
  </si>
  <si>
    <t>State specific Initiatives and Innovations</t>
  </si>
  <si>
    <t>blood collection &amp; transport van</t>
  </si>
  <si>
    <t>Others including operating Costs OOC</t>
  </si>
  <si>
    <t>Support for blood transfusion</t>
  </si>
  <si>
    <t>Equipment (including furniture, excluding computer</t>
  </si>
  <si>
    <t>Equipments for Blood Banks</t>
  </si>
  <si>
    <t>Blood Bank/BSU Day Care</t>
  </si>
  <si>
    <t>Drugs:Procurement by State</t>
  </si>
  <si>
    <t>Capacity Building</t>
  </si>
  <si>
    <t>screening for blood disorders</t>
  </si>
  <si>
    <t>Treatment</t>
  </si>
  <si>
    <t>Planning M&amp;E</t>
  </si>
  <si>
    <t>Prevention</t>
  </si>
  <si>
    <t>Central Supplies (Kind Grant)</t>
  </si>
  <si>
    <t>Procurement by State</t>
  </si>
  <si>
    <t>Dignostic Consumables</t>
  </si>
  <si>
    <t>Collection of eye balls by eye banks &amp; eye donation centres</t>
  </si>
  <si>
    <t>Free spectacles to school children</t>
  </si>
  <si>
    <t xml:space="preserve">Equipment </t>
  </si>
  <si>
    <t>Screening and free spectacles to school children @ Rs.350/- per case</t>
  </si>
  <si>
    <t>Free spectacles to others</t>
  </si>
  <si>
    <t>Grant in Aid for the health insatitutions, Eye Bank, NGO, Private Practitioners</t>
  </si>
  <si>
    <t>Equiment (Including Furniture excluding computers)</t>
  </si>
  <si>
    <t>Cataract surgeries through facilities</t>
  </si>
  <si>
    <t>Other NPCBVI components</t>
  </si>
  <si>
    <t>Capacity building including training</t>
  </si>
  <si>
    <t>Cataract surgeries through NGOs</t>
  </si>
  <si>
    <t>New FMR Code</t>
  </si>
  <si>
    <t>NCD.7</t>
  </si>
  <si>
    <t>Implementation of NPCCHH</t>
  </si>
  <si>
    <t>Capacity Building inc. Training</t>
  </si>
  <si>
    <t>IEC under Climate Change</t>
  </si>
  <si>
    <t>Implementation of NRCP</t>
  </si>
  <si>
    <t>Technical Assistant</t>
  </si>
  <si>
    <t>Planning and Programme Management</t>
  </si>
  <si>
    <t>Monitoring and Evaluation at 
District Level</t>
  </si>
  <si>
    <t xml:space="preserve">State Mobility Support </t>
  </si>
  <si>
    <t>District Mobility Support</t>
  </si>
  <si>
    <t>Hoarding at Health Facilities</t>
  </si>
  <si>
    <t>HMIS</t>
  </si>
  <si>
    <t>Haemodialysis Services</t>
  </si>
  <si>
    <t>Biomedical Equipment Management System and AERB</t>
  </si>
  <si>
    <t>Free Drugs Services Initiative</t>
  </si>
  <si>
    <t>Free Diagnostics Services Initiative</t>
  </si>
  <si>
    <t>Implementation of DVDMS</t>
  </si>
  <si>
    <t>HSS.1</t>
  </si>
  <si>
    <t xml:space="preserve">Infrastructure Strengthening of PHCs to HWCs </t>
  </si>
  <si>
    <t>Equipment (including furnitures excluding computers)</t>
  </si>
  <si>
    <t xml:space="preserve">Procurement of Supplies for HWCs                                    </t>
  </si>
  <si>
    <t xml:space="preserve">Any other; procurement of diagnostics for HWCs </t>
  </si>
  <si>
    <t xml:space="preserve">Multiskilling of ASHAs, ANMs                                     </t>
  </si>
  <si>
    <t xml:space="preserve">Training of MO/SN </t>
  </si>
  <si>
    <t xml:space="preserve">Capacity Building inc. Training   </t>
  </si>
  <si>
    <t>CHO Induction Training</t>
  </si>
  <si>
    <t>Planning &amp; M&amp;E</t>
  </si>
  <si>
    <t>Latent TB Infection Management</t>
  </si>
  <si>
    <t>Diagnosis , Consumables sample transport</t>
  </si>
  <si>
    <t>Drugs (Treatment)</t>
  </si>
  <si>
    <t>NIKSHAY Poshan Yojona</t>
  </si>
  <si>
    <t>Drug Sensitive TB (DSTB)</t>
  </si>
  <si>
    <t>Drug Resistant TB (DRTB)</t>
  </si>
  <si>
    <t>Others including Operating costs</t>
  </si>
  <si>
    <t>Incentives for community volunteers</t>
  </si>
  <si>
    <t>Injection prick charges</t>
  </si>
  <si>
    <t>SRRE</t>
  </si>
  <si>
    <t>Capacity Buiilding Including Training</t>
  </si>
  <si>
    <t>Infrastructure Civil Works</t>
  </si>
  <si>
    <t>Civil Works</t>
  </si>
  <si>
    <t>Equipment including furniture</t>
  </si>
  <si>
    <t>Hanheld Tablet</t>
  </si>
  <si>
    <t>Procurement of Lab equipment</t>
  </si>
  <si>
    <t xml:space="preserve">Maintenance of Lab equipment </t>
  </si>
  <si>
    <t xml:space="preserve">Drugs </t>
  </si>
  <si>
    <t>Procurement of first line Drugs</t>
  </si>
  <si>
    <t>Procurement of second line Drugs</t>
  </si>
  <si>
    <t>State Specific Innovation</t>
  </si>
  <si>
    <t>informant incentives</t>
  </si>
  <si>
    <t>CIE/SIE/JSS</t>
  </si>
  <si>
    <t xml:space="preserve">ASHA </t>
  </si>
  <si>
    <t>ASHA Incentives for undertaking ACF</t>
  </si>
  <si>
    <t>NCD.4</t>
  </si>
  <si>
    <t>Implimentation at CHC/PHC</t>
  </si>
  <si>
    <t>Surveillance, Research, Review, Evaluation (SREE)</t>
  </si>
  <si>
    <t>Diagnostics
(Consumables, PPP, Sample Transport</t>
  </si>
  <si>
    <t xml:space="preserve">Consumables (Home Based Care Kit) </t>
  </si>
  <si>
    <t>Drugs (morphine)</t>
  </si>
  <si>
    <t xml:space="preserve">Operational Expenses at State Palliative Cell </t>
  </si>
  <si>
    <t xml:space="preserve">IEC </t>
  </si>
  <si>
    <t xml:space="preserve">Leaflets Printing </t>
  </si>
  <si>
    <t>Other NLEP Components</t>
  </si>
  <si>
    <t>Drugs - Budget for Procurement by States</t>
  </si>
  <si>
    <t>Quality Assurance Implementation &amp; Mera Aspataal</t>
  </si>
  <si>
    <t xml:space="preserve">Assured incentive </t>
  </si>
  <si>
    <t xml:space="preserve">PMSMA Rs 100 Quarterly </t>
  </si>
  <si>
    <t>Other Community Engagements Components</t>
  </si>
  <si>
    <t>Internet Connection+Procurement of Computer.</t>
  </si>
  <si>
    <t>AMG Meeting</t>
  </si>
  <si>
    <t>Malaria</t>
  </si>
  <si>
    <t>Dengue &amp; Chikungunya</t>
  </si>
  <si>
    <t>Intersectoral convergence Dengue</t>
  </si>
  <si>
    <t>Contingency support</t>
  </si>
  <si>
    <t>Logistic for Entomological lab</t>
  </si>
  <si>
    <t>Chloroquine phosphate tablets</t>
  </si>
  <si>
    <t>Primaquine tablets 2.5 mg</t>
  </si>
  <si>
    <t>Primaquine tablets 7.5 mg</t>
  </si>
  <si>
    <t>Temephos, Bti vector control</t>
  </si>
  <si>
    <t xml:space="preserve"> Pyrethrum extract 2% for space spray</t>
  </si>
  <si>
    <t>Drugs (Kind Grants) (To be provided by the PDs)</t>
  </si>
  <si>
    <t>AES/ JE</t>
  </si>
  <si>
    <t>Payment to NIV towards JE Kits as Head Quarter</t>
  </si>
  <si>
    <t>Printing of forms</t>
  </si>
  <si>
    <t>IEC/ BCC for Dengue</t>
  </si>
  <si>
    <t>TRC (LQAS)</t>
  </si>
  <si>
    <t>Rapid Respone Dengue</t>
  </si>
  <si>
    <t>M &amp; E for MVCR</t>
  </si>
  <si>
    <t>M &amp; E for MVCR POL</t>
  </si>
  <si>
    <t>Surveillance, Research, Review, Evaluation</t>
  </si>
  <si>
    <t>Entomological unit functioning</t>
  </si>
  <si>
    <t>Serial no</t>
  </si>
  <si>
    <t>AH</t>
  </si>
  <si>
    <t>Nutrition</t>
  </si>
  <si>
    <t>Training of Nodal Teachers</t>
  </si>
  <si>
    <t>Printing of JSSK Reports, ANC Charts for all SC &amp; Clinics</t>
  </si>
  <si>
    <t>eSanjeevani OPD &amp; HWC</t>
  </si>
  <si>
    <t>Immunization including Mission Indradhanush</t>
  </si>
  <si>
    <t>Development of IECmaterials for Immunization and Mission Indradhanush</t>
  </si>
  <si>
    <t>HSS.12</t>
  </si>
  <si>
    <t>IT interventions and systems</t>
  </si>
  <si>
    <t>Operation Cost of DEIC</t>
  </si>
  <si>
    <t>Community Engagement</t>
  </si>
  <si>
    <t>Procurement &amp; Replanishment of HBNC &amp; HBYC Kit (Weighing Scale)</t>
  </si>
  <si>
    <t>JAS</t>
  </si>
  <si>
    <t>Quality Assurance assessment (State/District level assessment cum mentoring)</t>
  </si>
  <si>
    <t xml:space="preserve">Incentive for monthly HMIS data entry at Private Hospital 
@ Rs.500/- per month per private hospital </t>
  </si>
  <si>
    <t>Internet Connectivity through LAN / data card</t>
  </si>
  <si>
    <t>Recurring cost for Laboratory Support</t>
  </si>
  <si>
    <t xml:space="preserve">Data Sim Cards for CCH </t>
  </si>
  <si>
    <t xml:space="preserve">Data Sim Cards for Temperature Loggers </t>
  </si>
  <si>
    <t>Procurement of Temperature loggers for newer CCEs or replacement of loggers in case of loss or damage (@20% of existing loggers)</t>
  </si>
  <si>
    <t xml:space="preserve">Printing of eVIN register </t>
  </si>
  <si>
    <t>State NCD Cell
National Level @ 1.80
2 Days Training of 40 Specialist @ 2.47
2 Days Training of Medical Officers &amp; SN @ 2.31</t>
  </si>
  <si>
    <t>FRUs</t>
  </si>
  <si>
    <t>Facility Based New born Care</t>
  </si>
  <si>
    <t>Paediatric Care</t>
  </si>
  <si>
    <t>Vitamin A Supplementation</t>
  </si>
  <si>
    <t>Procurement under Family Planning (IUCD Kit)</t>
  </si>
  <si>
    <t>World Population Day and Vasectomy fortnight</t>
  </si>
  <si>
    <t>Management of Deafness</t>
  </si>
  <si>
    <t>Screening of Deafness</t>
  </si>
  <si>
    <t>Training Institutes and Skill Labs</t>
  </si>
  <si>
    <t>State specific Programme Innovations and Interventions</t>
  </si>
  <si>
    <t>Basic Life Saving Ambulances</t>
  </si>
  <si>
    <t>Other Ambulances</t>
  </si>
  <si>
    <t>OOC</t>
  </si>
  <si>
    <t>Development &amp; Operations of HWCs - Rural</t>
  </si>
  <si>
    <t>Wellness Activities at HWCs - Rural</t>
  </si>
  <si>
    <t>CHO Mentoring</t>
  </si>
  <si>
    <r>
      <t>Bridge Course/Standard Treatment Protocol</t>
    </r>
    <r>
      <rPr>
        <b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            </t>
    </r>
  </si>
  <si>
    <t>Development &amp; Operations of HWCs- Urban</t>
  </si>
  <si>
    <t>ASHA (Including Programmatic Incentives</t>
  </si>
  <si>
    <t>Planning and M&amp;E</t>
  </si>
  <si>
    <t>IEC and printing</t>
  </si>
  <si>
    <t>eVIN operational cost</t>
  </si>
  <si>
    <t xml:space="preserve"> Infrastructure - Civil works (I&amp;C)</t>
  </si>
  <si>
    <t xml:space="preserve">Capacity Building inc. Training              </t>
  </si>
  <si>
    <t>Operational Expenses at District Palliative Cell</t>
  </si>
  <si>
    <t>Comprehensive Grievance Redressal Mechanism</t>
  </si>
  <si>
    <t>RBSK at Facility Level including District Early Intervention Centers (DEIC)</t>
  </si>
  <si>
    <t>Procurement of mobile phones for newer CCE’s or replacement of mobile phones in case of loss or damage (@20% of existing mobile phones)</t>
  </si>
  <si>
    <t>Data and voice SIM cards for mobile phones – Project Team</t>
  </si>
  <si>
    <t>Data and voice SIM cards for VCCM</t>
  </si>
  <si>
    <t>Sterilization - Male</t>
  </si>
  <si>
    <t>Antara</t>
  </si>
  <si>
    <t>NAYI PAHEL</t>
  </si>
  <si>
    <t>Saas Bahu and PatiSammelan</t>
  </si>
  <si>
    <t>SAARTHI - Awareness on Wheels</t>
  </si>
  <si>
    <t>alternate contraceptive delivery system</t>
  </si>
  <si>
    <t xml:space="preserve">ASHA incentives under MAA Programme @Rs 100 per quarterly mothers meeting </t>
  </si>
  <si>
    <t>Incentive for Home Based Newborn Care Programme (HBNC)</t>
  </si>
  <si>
    <t xml:space="preserve">Incentives for National Deworming Day for mobilising school children </t>
  </si>
  <si>
    <t xml:space="preserve">IDCF ORS distribution to family with under 5 years children </t>
  </si>
  <si>
    <t>Non-Recurring Grant-in-Aid : Machinery &amp; Equipment for CHC @ Rs.0.5 lakhs per unit for 6 CHCs</t>
  </si>
  <si>
    <t>Equipment (Including Furniture, Excluding Computer)</t>
  </si>
  <si>
    <t>NAYI PAHEL- an FP Kit for newly weds</t>
  </si>
  <si>
    <t>Incentives on Saas Bahu</t>
  </si>
  <si>
    <t>Surveillance</t>
  </si>
  <si>
    <t>Sensitization workshop/meeting of the State Program Officers and District Level Health Officers</t>
  </si>
  <si>
    <t>NCD.8</t>
  </si>
  <si>
    <t>Outreach Activity under NVHCP Planning M&amp; E</t>
  </si>
  <si>
    <t>Printing of CAC register</t>
  </si>
  <si>
    <t>Procurement under LaQSHYA (Labour room Consumables)</t>
  </si>
  <si>
    <t>Procurement under LaQSHYA (Strengthening Labour room)</t>
  </si>
  <si>
    <t>Recurring Grant-in-Aid : Machinery &amp; Equipment @ Rs.0.7 lakh per unit  for 9 DH</t>
  </si>
  <si>
    <t>IEC/ BCC
Public Awareness &amp; IEC for NPHCE @ Rs.0.25 lakh per unit x 9 districts</t>
  </si>
  <si>
    <t xml:space="preserve">3 days Modular Training  of Medical Officers, Staff Nurses and Community Based Workers providing geriatric services </t>
  </si>
  <si>
    <t>New FMR</t>
  </si>
  <si>
    <t>NCD.3</t>
  </si>
  <si>
    <t>District NCD Clinics @ Rs. 3.0 lakh per centre x 8 centres</t>
  </si>
  <si>
    <t>District CCU/ ICU  @ Rs. 3.0 lakh per centre x 1 centres</t>
  </si>
  <si>
    <t>Drugs&amp; consumables for COPD @ 15 x 2 Districts</t>
  </si>
  <si>
    <t>Contingency :PHC level @ Rs. 0.05 lakh x 60 centres</t>
  </si>
  <si>
    <t>Contingency :Sub-centre level @ Rs. 0.01 x 370 centres</t>
  </si>
  <si>
    <t>Equipment : Chronic Obstructive Pulmonary Diseases (COPD)</t>
  </si>
  <si>
    <t>District Cancer Care @ Rs. 3.0 lakh per centre x 1centres</t>
  </si>
  <si>
    <t>RCH 5</t>
  </si>
  <si>
    <t>RCH 7</t>
  </si>
  <si>
    <t>Reward &amp; Recognition for good performing HWA/Schools</t>
  </si>
  <si>
    <t>SHP merchandise</t>
  </si>
  <si>
    <t>RCH.1</t>
  </si>
  <si>
    <t>RCH.3</t>
  </si>
  <si>
    <t>RCH.7</t>
  </si>
  <si>
    <t>RCH.6</t>
  </si>
  <si>
    <t>FMR Code</t>
  </si>
  <si>
    <t>HSS.11</t>
  </si>
  <si>
    <t>Technical Assistance</t>
  </si>
  <si>
    <t>RCH.8</t>
  </si>
  <si>
    <t>NDCP.3</t>
  </si>
  <si>
    <t>RCH.4</t>
  </si>
  <si>
    <t>NCD.2</t>
  </si>
  <si>
    <t>Other Initiatives to improve access</t>
  </si>
  <si>
    <t>Mobile Medical Units</t>
  </si>
  <si>
    <t>HSS.7</t>
  </si>
  <si>
    <t>Comprehensive Primary Health care (CPHC)</t>
  </si>
  <si>
    <t>HSS.2</t>
  </si>
  <si>
    <t>S.No.</t>
  </si>
  <si>
    <t>HSS.5</t>
  </si>
  <si>
    <t>Referral Transport</t>
  </si>
  <si>
    <t>RCH.2</t>
  </si>
  <si>
    <t>PC &amp; PNDT Act</t>
  </si>
  <si>
    <t>NDCP.5</t>
  </si>
  <si>
    <t>NDCP.1</t>
  </si>
  <si>
    <t>63</t>
  </si>
  <si>
    <t>NDCP.6</t>
  </si>
  <si>
    <t>Implementation of TOFEI guidelines</t>
  </si>
  <si>
    <t>Implementation of COTPA-2003</t>
  </si>
  <si>
    <t>Tobacco Cessation</t>
  </si>
  <si>
    <t>Saiha</t>
  </si>
  <si>
    <t>HSS.6</t>
  </si>
  <si>
    <t>DCP.4</t>
  </si>
  <si>
    <t>Screening &amp;Testing through facilities</t>
  </si>
  <si>
    <t>Screening &amp;Testing throuhj NGOs</t>
  </si>
  <si>
    <t>Sl. No</t>
  </si>
  <si>
    <t>NDCP.2</t>
  </si>
  <si>
    <t>Implementation of NIDDCP</t>
  </si>
  <si>
    <t>ASHA (including ASHA Certification and ASHA benefit package)</t>
  </si>
  <si>
    <t>HSS.3</t>
  </si>
  <si>
    <t>HSS.14</t>
  </si>
  <si>
    <t>HSS.10</t>
  </si>
  <si>
    <t>Enhancing HR</t>
  </si>
  <si>
    <t>Innovation</t>
  </si>
  <si>
    <t>IT Interventions and Systems</t>
  </si>
  <si>
    <t>HRH</t>
  </si>
  <si>
    <t>NCD.6</t>
  </si>
  <si>
    <t>Pradhan Mantri National Dialysis Programme (PMNDP)</t>
  </si>
  <si>
    <t>HSS.8</t>
  </si>
  <si>
    <t>Inventory Management</t>
  </si>
  <si>
    <t>Bllod Services &amp; Disorders</t>
  </si>
  <si>
    <t>Untied Grants</t>
  </si>
  <si>
    <t>Integrated Disease Surveillance Programme (IDSP)</t>
  </si>
  <si>
    <t>National Viral Hepatitis Control Programme (NVHCP)</t>
  </si>
  <si>
    <t>National Rabies Control Programme (NRCP)</t>
  </si>
  <si>
    <t>NCD.1</t>
  </si>
  <si>
    <t>NPCB + VI</t>
  </si>
  <si>
    <t>Implementation of District Mental Health Plan</t>
  </si>
  <si>
    <t>Progarmme</t>
  </si>
  <si>
    <t>National Oral Health Programme</t>
  </si>
  <si>
    <t>NCD.9</t>
  </si>
  <si>
    <t>1. Review Meeting 
2. Stakeholder Meeting</t>
  </si>
  <si>
    <t>Implementation of NPPC</t>
  </si>
  <si>
    <t>NCD.11</t>
  </si>
  <si>
    <t>HSS (U).2</t>
  </si>
  <si>
    <t>HSS (U).5</t>
  </si>
  <si>
    <t>HSS (U).3</t>
  </si>
  <si>
    <t>HSS (U).4</t>
  </si>
  <si>
    <t>HSS (U). 4</t>
  </si>
  <si>
    <t>Public Institutions as per IPHS norms</t>
  </si>
  <si>
    <t>HSS (U). 6</t>
  </si>
  <si>
    <t>HSS (U). 8</t>
  </si>
  <si>
    <t>HSS (U). 9</t>
  </si>
  <si>
    <t>HSS (U). 1</t>
  </si>
  <si>
    <t>Comprehensive Primary Healthcare (CPHC)</t>
  </si>
  <si>
    <t>G Total</t>
  </si>
  <si>
    <t>IEC and Printing Activities under SHP (IEC + Programmatic IEC)</t>
  </si>
  <si>
    <t>Total Proposal</t>
  </si>
  <si>
    <t>(Rs. In Crores)</t>
  </si>
  <si>
    <t>RMNCH+A</t>
  </si>
  <si>
    <t>HSS</t>
  </si>
  <si>
    <t>DCP</t>
  </si>
  <si>
    <t>NCD</t>
  </si>
  <si>
    <t>SMS</t>
  </si>
  <si>
    <t>RCH</t>
  </si>
  <si>
    <t>RBSK</t>
  </si>
  <si>
    <t>ASHA / CP</t>
  </si>
  <si>
    <t>CEA</t>
  </si>
  <si>
    <t>IEC under NHM</t>
  </si>
  <si>
    <t>FDSI</t>
  </si>
  <si>
    <t>BEMP</t>
  </si>
  <si>
    <t>FDI</t>
  </si>
  <si>
    <t>State and District Action Plan</t>
  </si>
  <si>
    <t>NVHCP</t>
  </si>
  <si>
    <t>NPCB &amp; VI</t>
  </si>
  <si>
    <t>NOHP</t>
  </si>
  <si>
    <t>Climate Change</t>
  </si>
  <si>
    <t>SD - HR</t>
  </si>
  <si>
    <t>PM - HR</t>
  </si>
  <si>
    <t>Flexi
Pool</t>
  </si>
  <si>
    <t>RKSK &amp;SHP</t>
  </si>
  <si>
    <t>Free Drugs Service Initiative (FDSI)</t>
  </si>
  <si>
    <t>State and District Action plan</t>
  </si>
  <si>
    <t>Activities</t>
  </si>
  <si>
    <t>Excluding IM</t>
  </si>
  <si>
    <t>Excluding SMS</t>
  </si>
  <si>
    <t>RKSK &amp; SHP</t>
  </si>
  <si>
    <t>State &amp; Dist Level Office expenditure under RCH / NHM</t>
  </si>
  <si>
    <t>1. Training of MO</t>
  </si>
  <si>
    <t>MHT Training under RBSK</t>
  </si>
  <si>
    <t>Refresher Training of HWAs</t>
  </si>
  <si>
    <t>Aizawl E</t>
  </si>
  <si>
    <t>Aizawl W (Aizawl for SHWP_AB)</t>
  </si>
  <si>
    <t>Mobility &amp; Communication support for 7 RKSK District Coordinators</t>
  </si>
  <si>
    <t>IT Support (Internet/ Wifi/ Honorarium)</t>
  </si>
  <si>
    <t>Swass Sarvatra</t>
  </si>
  <si>
    <t>Safety pits</t>
  </si>
  <si>
    <t>Procurement of Syr paracetamol for Beneficiaries</t>
  </si>
  <si>
    <t>Implementation of National Quality Assurance Standards for AEFI Surveillance Programme</t>
  </si>
  <si>
    <t>Human Resource for eVIN (1 Senior Project Officer, 1 Project Officer(IT), 1 Project Officer, 9 Vaccine &amp; Cold Chain Manager)</t>
  </si>
  <si>
    <t>Total Approval</t>
  </si>
  <si>
    <t>National Programme for Climate Change and Human Health (NPCCHH)</t>
  </si>
  <si>
    <t>National Programme for Climate  Change and Human Health (NPCCHH)</t>
  </si>
  <si>
    <t>National Programme for  Change Climate and Human Health (NPCCHH)</t>
  </si>
  <si>
    <t>National Programme on Climate  Change and Human Health (NPCCHH)</t>
  </si>
  <si>
    <t>National Programme on Climate   Change and Human Health (NPCCHH)</t>
  </si>
  <si>
    <t>Others including Operating Cost (OOC)</t>
  </si>
  <si>
    <t>Observance of Days under NPCCHH</t>
  </si>
  <si>
    <t>Hiring of Operational Vehicle under NTCP</t>
  </si>
  <si>
    <t>State and District Health Action Plan</t>
  </si>
  <si>
    <t>RCH 2024-25</t>
  </si>
  <si>
    <t>RKSK 2024-25</t>
  </si>
  <si>
    <t>RBSK 2024-25</t>
  </si>
  <si>
    <t>EPI 2024-25</t>
  </si>
  <si>
    <t>PNDT 2024-25</t>
  </si>
  <si>
    <t>NATIONAL IODINE DEFICIENCY DISORDER CONTROL PROGRAMME 2024-25</t>
  </si>
  <si>
    <t>CP 2024-25</t>
  </si>
  <si>
    <t>CEA 2024-25</t>
  </si>
  <si>
    <t>IEC 2024-25</t>
  </si>
  <si>
    <t>MMU 2024-25</t>
  </si>
  <si>
    <t>NAS 2024-25</t>
  </si>
  <si>
    <t>QA 2024-25</t>
  </si>
  <si>
    <t>M&amp;E 2024-25</t>
  </si>
  <si>
    <t>State and District Health Action Plan 2024-25</t>
  </si>
  <si>
    <t>SBC 2024-25</t>
  </si>
  <si>
    <t>IDSP 2024-25</t>
  </si>
  <si>
    <t>NATIONAL LEPROSY ERADICATION PROGRAMME (NLEP) 2024-25</t>
  </si>
  <si>
    <t>NTEP 2024-25</t>
  </si>
  <si>
    <t>NVHCP 2024-25</t>
  </si>
  <si>
    <t>NRCP 2024-25</t>
  </si>
  <si>
    <t>NPCBVI 2024-25</t>
  </si>
  <si>
    <t>NMHP 2024-25</t>
  </si>
  <si>
    <t>NPHCE 2024-25</t>
  </si>
  <si>
    <t>NTCP 2024-25</t>
  </si>
  <si>
    <t>PMNDP 2024-25</t>
  </si>
  <si>
    <t>National Oral Health Programme (NOHP) 2024-25</t>
  </si>
  <si>
    <t>NPPC 2024-25</t>
  </si>
  <si>
    <t>NPPCD 2024-25</t>
  </si>
  <si>
    <t>Rent For UPHC</t>
  </si>
  <si>
    <t>Printing of NBSU format</t>
  </si>
  <si>
    <t>NSSK Training for MO &amp; CHO</t>
  </si>
  <si>
    <t>NSSK Training for SN, HWO &amp; ANM</t>
  </si>
  <si>
    <t>4 days training for FBNC (4 MO &amp; 10 SN)</t>
  </si>
  <si>
    <t>Procurement of Pulse Oximeter (Neonatals)</t>
  </si>
  <si>
    <t>F-IMNCI for Medical Officers</t>
  </si>
  <si>
    <t>F-IMNCI for Staff Nurses</t>
  </si>
  <si>
    <t>State/District Coordination Committee on NDD</t>
  </si>
  <si>
    <t>Nutritional Rehabilitation Centre (NRC)</t>
  </si>
  <si>
    <t>ASHA Incentives under NRC</t>
  </si>
  <si>
    <t>Recurring expenditure for NRC</t>
  </si>
  <si>
    <t>Printing of IEC materials and monitoring formats for IDCF</t>
  </si>
  <si>
    <t>State/District Coordination Committee on IDCF</t>
  </si>
  <si>
    <t>Citizens Charter for health facilities</t>
  </si>
  <si>
    <t>Talkshows on health topics on 3 local channels.</t>
  </si>
  <si>
    <t>Awareness Advertisements at public gatherings</t>
  </si>
  <si>
    <t xml:space="preserve">Making and Broadcasting of Awareness Advetisements on Local Media Channels and Social Media </t>
  </si>
  <si>
    <t>Hriselna &amp; Damna Magazine</t>
  </si>
  <si>
    <t>Print Advertisement on Local Newpapers</t>
  </si>
  <si>
    <t>S. Total</t>
  </si>
  <si>
    <t>S.Total</t>
  </si>
  <si>
    <t>NUHM 2024-25</t>
  </si>
  <si>
    <t>HSS (U). 3</t>
  </si>
  <si>
    <t>Infrastructure / Civil Work</t>
  </si>
  <si>
    <t>Champhai UPHC</t>
  </si>
  <si>
    <t>Refresher Training on RCH Portal and ANMOL</t>
  </si>
  <si>
    <t>Printing of IEC materials for National Newborn Week 2024</t>
  </si>
  <si>
    <t>Launching (Including IEC/BCC) and monitoring of IDCF</t>
  </si>
  <si>
    <t>SBA training for SN</t>
  </si>
  <si>
    <t>SBA training for ANM</t>
  </si>
  <si>
    <t>Procurement of Albendazole Tablets under NDD</t>
  </si>
  <si>
    <t>NTF/ZTF/STF</t>
  </si>
  <si>
    <t xml:space="preserve">Vehicle Operation </t>
  </si>
  <si>
    <t>Any Other IEC</t>
  </si>
  <si>
    <t>Stregthening of AB-HWC</t>
  </si>
  <si>
    <t>Equipment (Including Furniture, Excluding Computers</t>
  </si>
  <si>
    <t>Incentives(Allowance, Incentives, staff welfare fund)</t>
  </si>
  <si>
    <t>Capacity Building of JAS members</t>
  </si>
  <si>
    <t>Software Training for HWC</t>
  </si>
  <si>
    <t>CHO Review Meeting</t>
  </si>
  <si>
    <t>Community based service delivery by AB-HWCs (Software Training)</t>
  </si>
  <si>
    <t>NDCP.4</t>
  </si>
  <si>
    <t>Specific Plan for high Endemic District</t>
  </si>
  <si>
    <t xml:space="preserve">Case Detection &amp; Management services in Urban Areas </t>
  </si>
  <si>
    <t>Case detection and Management</t>
  </si>
  <si>
    <t>Drugs and supplies</t>
  </si>
  <si>
    <t>Supportive Drugs and Lab. Reagents</t>
  </si>
  <si>
    <t>Health Education &amp; Publicity for NIDDCP</t>
  </si>
  <si>
    <t>IEC activities for HWCs</t>
  </si>
  <si>
    <t>Wellness activities at HWCs- Rural</t>
  </si>
  <si>
    <t>10 Wellness sessions per month/UPHC</t>
  </si>
  <si>
    <t>Remuneration for Speecialists at 1000/week for 52 weeks</t>
  </si>
  <si>
    <t>NATIONAL PROGRAMME FOR PREVENTION &amp; COBTROL OF CANCER, DIABETES, CARDIOVASCULAT DISEASES &amp; STROKE (NPCDCS)</t>
  </si>
  <si>
    <t>ASHA Incentive</t>
  </si>
  <si>
    <t>ASHA incentives for NCD screening in PBS districts: Rs 10 per person screened
Annual Follow-up of Confirmed NCD patient (two visits): Rs. 100 per patient</t>
  </si>
  <si>
    <t>DVDMS 2024-25</t>
  </si>
  <si>
    <t>FDI 2024-25</t>
  </si>
  <si>
    <t>BMMP 2024-25</t>
  </si>
  <si>
    <t>FDSI 2024-25</t>
  </si>
  <si>
    <t>Financial Monitoring under NHM</t>
  </si>
  <si>
    <t>Review Meeting under NHM</t>
  </si>
  <si>
    <t>HSS (U). 5</t>
  </si>
  <si>
    <t>Teleconsultation facilities at HWCs-Urban</t>
  </si>
  <si>
    <t>Outsource basis</t>
  </si>
  <si>
    <t>NPCCHH</t>
  </si>
  <si>
    <t>Climate Resilient Health facilities (Retrofitting Healthcare Infrastructure)</t>
  </si>
  <si>
    <t>Green Measures in Health care facilities (Energy Audit)</t>
  </si>
  <si>
    <t>Green Measures in Health care facilities (LED Lighting)</t>
  </si>
  <si>
    <t>Installation of Solar Panel</t>
  </si>
  <si>
    <t>Installation of Rain water harvesting system</t>
  </si>
  <si>
    <t xml:space="preserve">Governing Body Meeting &amp; State level task force meeting &amp; District Task Force Meeting </t>
  </si>
  <si>
    <t>One-day Sensitization on Climate Change and Human Health</t>
  </si>
  <si>
    <t>Refresher Training of Medical Officers</t>
  </si>
  <si>
    <t>Training / Capacity Building for MO</t>
  </si>
  <si>
    <t>Capacity Building for MO</t>
  </si>
  <si>
    <t>RE 2024-25</t>
  </si>
  <si>
    <t>Salary PM</t>
  </si>
  <si>
    <t>Salary SD</t>
  </si>
  <si>
    <t>NUHM SD - HR</t>
  </si>
  <si>
    <t>NUHM PM - HR</t>
  </si>
  <si>
    <t>Procurement under AFHS(Electronic equipment )</t>
  </si>
  <si>
    <t>Training of 16  Counselors on AFHS at State level (not proposed in FY 25-26)</t>
  </si>
  <si>
    <t>Operating expenses of Youth Clinic for one year( for 62 Youth clinic in 7 RKSK District)</t>
  </si>
  <si>
    <t>Mobility &amp; Communication support for 16 Counselors ( 9 AH Counselors, 6 RMNCH+A Counselors &amp; 1 ICTC Counselor)</t>
  </si>
  <si>
    <t>IEC under AFHS ( for 11 new Youth Clinic at Aizawl Dist; signboard/hoarding)</t>
  </si>
  <si>
    <t>Printing under WIFS(not proposed in FY 25-26)</t>
  </si>
  <si>
    <t>Training of new selected untrained PE for Aizawl East &amp; West (training for all RKSK district for replacement of overage PE proposed in FY 25-26)</t>
  </si>
  <si>
    <t>ASHA incentives for mobilizing adolescents for Adolescent Health &amp; Wellness Day ( 1 time each for every 4 quarter)</t>
  </si>
  <si>
    <t>Non-monetary Incentives of PE for 9 months (including new PE from Aizawl East &amp;West</t>
  </si>
  <si>
    <t>Development PE Kit and PE diary for new PE from Aizawl dist ( For FY 25-26 PE Kit was proposed for  new PE for replacement of overage PE from all RKSK District )</t>
  </si>
  <si>
    <t>One day Adolescent Health &amp; Wellness Days at the district ( for 837 villages from 7 RKSK dist)</t>
  </si>
  <si>
    <t>Adolescent Friendly Clubs Meeting( Teen Clubs Meeting) at 411 Sub Centre  in all RKSK District under the guidance of ANM</t>
  </si>
  <si>
    <t>NUHM - Activities</t>
  </si>
  <si>
    <t>HSS-11</t>
  </si>
  <si>
    <t>Programme Management Activities</t>
  </si>
  <si>
    <t>HSS 11</t>
  </si>
  <si>
    <t>Provision for free medical and surgical care to survivors of Gender Based Violence</t>
  </si>
  <si>
    <t>UHC Medical Officer</t>
  </si>
  <si>
    <t>UHC Staff Nurse</t>
  </si>
  <si>
    <t>UHC Helper</t>
  </si>
  <si>
    <t>CHO Incentive</t>
  </si>
  <si>
    <t>Incentive</t>
  </si>
  <si>
    <t>Consecutive and Concurrent supervision of Indoor Residual Spray</t>
  </si>
  <si>
    <t>Capacity Building of Block MTS</t>
  </si>
  <si>
    <t>HSS.15</t>
  </si>
  <si>
    <t>Snake Bite Prevention</t>
  </si>
  <si>
    <t>Training at State level</t>
  </si>
  <si>
    <t>Meeting &amp; Office Expenses</t>
  </si>
  <si>
    <t>Surveillance &amp; Monitoring</t>
  </si>
  <si>
    <t>Snake Bite Prevention 2024-25</t>
  </si>
  <si>
    <t>Minor civil works</t>
  </si>
  <si>
    <t>Renalin Solution</t>
  </si>
  <si>
    <t>500 ltr/hr RO plant for dialysis unit</t>
  </si>
  <si>
    <t xml:space="preserve">Approval Details / Particulars </t>
  </si>
  <si>
    <t>CPHC</t>
  </si>
  <si>
    <t>Approval Details / Particulars</t>
  </si>
  <si>
    <t>Procurement of 15 Laptops (To be met from PM)</t>
  </si>
  <si>
    <t>IMNCI for MO</t>
  </si>
  <si>
    <t>Community Based  Care - HBNC &amp; HBYC</t>
  </si>
  <si>
    <t>Web Portal training for RBSK State Support Staff in National Level</t>
  </si>
  <si>
    <t>Procurements of 100000 Lancet</t>
  </si>
  <si>
    <t>b.      Recurring : Procurement of office expenses for SL</t>
  </si>
  <si>
    <t>Training of Lab. Tech, Pharmacist, Peer Support &amp; DEO</t>
  </si>
  <si>
    <t>Meeting costs/ Office expenses/ Contingencies for MTC</t>
  </si>
  <si>
    <t>Management of Hepatitis A &amp; E</t>
  </si>
  <si>
    <t>Recurring : IEC/BCC, M&amp;E, Office expenses/ Contingencies, HBV Vaccine</t>
  </si>
  <si>
    <t>Gender Based Violence &amp; Medico Legal Care for Survivors Victims of Sexual Violence</t>
  </si>
  <si>
    <t>183</t>
  </si>
  <si>
    <t>Other Initiative</t>
  </si>
  <si>
    <t>State and District ROP 2024-25</t>
  </si>
  <si>
    <t>Training of MO/SN/MPW/ASHA as per CPHC norms</t>
  </si>
  <si>
    <t>NVBDCP 2024-2025</t>
  </si>
  <si>
    <t>Asha incentives Dengue</t>
  </si>
  <si>
    <t>Malaria (EAC)</t>
  </si>
  <si>
    <t xml:space="preserve">Supply Chain Management Cost </t>
  </si>
  <si>
    <t>Maintence of Microscope</t>
  </si>
  <si>
    <t>Test kids to be supplied by GoI (ELISA based NS1 kit and Mac ELISA kits</t>
  </si>
  <si>
    <t>Dengue NS1 Antigen Kit</t>
  </si>
  <si>
    <t xml:space="preserve">Drugs kind Grands to be supplied by PDs under Malaria </t>
  </si>
  <si>
    <t>Capacity building includingTraining</t>
  </si>
  <si>
    <t>GFATM Review Meeting - for attending RRM</t>
  </si>
  <si>
    <t>ROP 2024-25</t>
  </si>
  <si>
    <t>Activities Approval</t>
  </si>
  <si>
    <t>Programme wise activity Approval</t>
  </si>
  <si>
    <t>GOI Support (Flexible Pool for RCH &amp; Health System Strengthening, National Health Programme and Urban Health Mission under National Health Mission including Cash and Kind)
(i + ii)</t>
  </si>
  <si>
    <t>BREAKUP OF RESOURCE ENVELOPE 2024-25</t>
  </si>
  <si>
    <t>S. No.</t>
  </si>
  <si>
    <t>A</t>
  </si>
  <si>
    <t>(i)</t>
  </si>
  <si>
    <t>Cash</t>
  </si>
  <si>
    <t>(ii)</t>
  </si>
  <si>
    <t>Kind (a+b+c+d)</t>
  </si>
  <si>
    <t>(a) Immunisation</t>
  </si>
  <si>
    <t>(b) NVBDCP</t>
  </si>
  <si>
    <t>(c) NTEP</t>
  </si>
  <si>
    <t>(d) NVHCP</t>
  </si>
  <si>
    <t>Infrastructure Maintenance (Including Direction and Administration)</t>
  </si>
  <si>
    <t>B</t>
  </si>
  <si>
    <t>C</t>
  </si>
  <si>
    <t>D</t>
  </si>
  <si>
    <t>Approval for PM Salary</t>
  </si>
  <si>
    <t>Approval for SD Salary</t>
  </si>
  <si>
    <t>Approval for Activities</t>
  </si>
  <si>
    <t>Total PM salary</t>
  </si>
  <si>
    <t>Total SD salary</t>
  </si>
  <si>
    <t>Excluding IM and SMS
(TOTAL PIP APPROVAL)</t>
  </si>
  <si>
    <t>NUHM PM</t>
  </si>
  <si>
    <t>NUHM SD</t>
  </si>
  <si>
    <t>Total NUHM Salary</t>
  </si>
  <si>
    <t>NHM PM Salary</t>
  </si>
  <si>
    <t>NHM SD Salary</t>
  </si>
  <si>
    <t>Total NHM Salary</t>
  </si>
  <si>
    <t>NP-NCD</t>
  </si>
  <si>
    <t>Total
(Rs.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</si>
</sst>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164" formatCode="_(&quot;₹&quot;* #,##0.00_);_(&quot;₹&quot;* \(#,##0.00\);_(&quot;₹&quot;* &quot;-&quot;??_);_(@_)"/>
    <numFmt numFmtId="165" formatCode="0.000"/>
    <numFmt numFmtId="166" formatCode="0.0000"/>
    <numFmt numFmtId="167" formatCode="0.00_);\(0.00\)"/>
    <numFmt numFmtId="168" formatCode="0.0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2"/>
      <color rgb="FFFF0000"/>
      <name val="Calibri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color rgb="FFFF0000"/>
      <name val="Cambria"/>
      <family val="1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7" fillId="0" borderId="0"/>
    <xf numFmtId="0" fontId="1" fillId="0" borderId="0"/>
    <xf numFmtId="164" fontId="6" fillId="0" borderId="0" applyFont="0" applyFill="0" applyBorder="0" applyAlignment="0" applyProtection="0"/>
    <xf numFmtId="0" fontId="20" fillId="0" borderId="0"/>
    <xf numFmtId="0" fontId="21" fillId="0" borderId="0"/>
    <xf numFmtId="164" fontId="6" fillId="0" borderId="0" applyFont="0" applyFill="0" applyBorder="0" applyAlignment="0" applyProtection="0"/>
    <xf numFmtId="0" fontId="24" fillId="0" borderId="0"/>
    <xf numFmtId="0" fontId="6" fillId="0" borderId="0"/>
    <xf numFmtId="0" fontId="6" fillId="0" borderId="0" applyBorder="0"/>
    <xf numFmtId="0" fontId="6" fillId="0" borderId="0" applyBorder="0"/>
    <xf numFmtId="0" fontId="30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58">
    <xf numFmtId="0" fontId="0" fillId="0" borderId="0" xfId="0"/>
    <xf numFmtId="0" fontId="5" fillId="0" borderId="3" xfId="0" applyFont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2" fontId="8" fillId="2" borderId="3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2" fontId="8" fillId="2" borderId="0" xfId="0" applyNumberFormat="1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vertical="center" wrapText="1"/>
    </xf>
    <xf numFmtId="2" fontId="12" fillId="2" borderId="3" xfId="0" applyNumberFormat="1" applyFont="1" applyFill="1" applyBorder="1" applyAlignment="1">
      <alignment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5" fillId="2" borderId="3" xfId="11" applyNumberFormat="1" applyFont="1" applyFill="1" applyBorder="1" applyAlignment="1">
      <alignment horizontal="right" vertical="center" wrapText="1"/>
    </xf>
    <xf numFmtId="2" fontId="12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justify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2" fontId="10" fillId="2" borderId="10" xfId="0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2" fontId="22" fillId="2" borderId="3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2" fontId="10" fillId="2" borderId="0" xfId="0" applyNumberFormat="1" applyFont="1" applyFill="1" applyAlignment="1">
      <alignment horizontal="left" vertical="center" wrapText="1"/>
    </xf>
    <xf numFmtId="44" fontId="10" fillId="2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left" vertical="center" wrapText="1"/>
    </xf>
    <xf numFmtId="2" fontId="12" fillId="2" borderId="3" xfId="0" applyNumberFormat="1" applyFont="1" applyFill="1" applyBorder="1" applyAlignment="1">
      <alignment horizontal="left" vertical="center" wrapText="1"/>
    </xf>
    <xf numFmtId="0" fontId="12" fillId="2" borderId="3" xfId="6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2" fontId="10" fillId="2" borderId="2" xfId="0" applyNumberFormat="1" applyFont="1" applyFill="1" applyBorder="1" applyAlignment="1">
      <alignment vertical="center" wrapText="1"/>
    </xf>
    <xf numFmtId="2" fontId="10" fillId="2" borderId="10" xfId="0" applyNumberFormat="1" applyFont="1" applyFill="1" applyBorder="1" applyAlignment="1">
      <alignment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left" vertical="center" wrapText="1"/>
    </xf>
    <xf numFmtId="2" fontId="10" fillId="2" borderId="0" xfId="0" applyNumberFormat="1" applyFont="1" applyFill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 wrapText="1"/>
    </xf>
    <xf numFmtId="2" fontId="1" fillId="0" borderId="0" xfId="0" applyNumberFormat="1" applyFont="1"/>
    <xf numFmtId="2" fontId="10" fillId="3" borderId="3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 wrapText="1"/>
    </xf>
    <xf numFmtId="2" fontId="9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29" fillId="0" borderId="3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wrapText="1"/>
    </xf>
    <xf numFmtId="2" fontId="10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textRotation="90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3" xfId="19" applyNumberFormat="1" applyFont="1" applyBorder="1" applyAlignment="1">
      <alignment horizontal="left" vertical="center" wrapText="1"/>
    </xf>
    <xf numFmtId="2" fontId="29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2" borderId="3" xfId="2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25" fillId="0" borderId="3" xfId="0" applyFont="1" applyBorder="1" applyAlignment="1">
      <alignment horizontal="justify" vertical="center"/>
    </xf>
    <xf numFmtId="0" fontId="25" fillId="0" borderId="3" xfId="0" applyFont="1" applyBorder="1" applyAlignment="1">
      <alignment horizontal="justify" vertical="center" wrapText="1"/>
    </xf>
    <xf numFmtId="0" fontId="12" fillId="2" borderId="3" xfId="1" applyFont="1" applyFill="1" applyBorder="1" applyAlignment="1" applyProtection="1">
      <alignment horizontal="left" vertical="center" wrapText="1"/>
      <protection locked="0"/>
    </xf>
    <xf numFmtId="0" fontId="12" fillId="2" borderId="5" xfId="1" applyFont="1" applyFill="1" applyBorder="1" applyAlignment="1" applyProtection="1">
      <alignment horizontal="left" vertical="center" wrapText="1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2" fontId="10" fillId="2" borderId="0" xfId="0" applyNumberFormat="1" applyFont="1" applyFill="1" applyAlignment="1">
      <alignment vertical="center" wrapText="1"/>
    </xf>
    <xf numFmtId="2" fontId="12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2" fontId="16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right" vertical="center" wrapText="1" indent="2"/>
    </xf>
    <xf numFmtId="166" fontId="12" fillId="2" borderId="3" xfId="0" applyNumberFormat="1" applyFont="1" applyFill="1" applyBorder="1" applyAlignment="1">
      <alignment horizontal="right" vertical="center" wrapText="1" indent="2"/>
    </xf>
    <xf numFmtId="2" fontId="12" fillId="2" borderId="3" xfId="0" applyNumberFormat="1" applyFont="1" applyFill="1" applyBorder="1" applyAlignment="1">
      <alignment horizontal="right" vertical="center" wrapText="1" indent="2"/>
    </xf>
    <xf numFmtId="165" fontId="12" fillId="2" borderId="3" xfId="0" applyNumberFormat="1" applyFont="1" applyFill="1" applyBorder="1" applyAlignment="1">
      <alignment horizontal="right" vertical="center" wrapText="1" indent="2"/>
    </xf>
    <xf numFmtId="0" fontId="8" fillId="2" borderId="3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2" fontId="32" fillId="2" borderId="3" xfId="0" applyNumberFormat="1" applyFont="1" applyFill="1" applyBorder="1" applyAlignment="1">
      <alignment horizontal="center" vertical="center" wrapText="1"/>
    </xf>
    <xf numFmtId="2" fontId="32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3" xfId="17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0" fillId="2" borderId="3" xfId="17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25" fillId="0" borderId="3" xfId="0" applyFont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vertical="center"/>
    </xf>
    <xf numFmtId="2" fontId="5" fillId="2" borderId="11" xfId="0" applyNumberFormat="1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3" fillId="2" borderId="3" xfId="0" applyFont="1" applyFill="1" applyBorder="1" applyAlignment="1">
      <alignment horizontal="left" vertical="center" wrapText="1"/>
    </xf>
    <xf numFmtId="2" fontId="33" fillId="2" borderId="3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4" fillId="2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vertical="center"/>
    </xf>
    <xf numFmtId="0" fontId="34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center" wrapText="1"/>
    </xf>
    <xf numFmtId="2" fontId="34" fillId="2" borderId="3" xfId="0" applyNumberFormat="1" applyFont="1" applyFill="1" applyBorder="1" applyAlignment="1">
      <alignment horizontal="center" vertical="center" wrapText="1"/>
    </xf>
    <xf numFmtId="2" fontId="34" fillId="2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3" fillId="2" borderId="0" xfId="0" applyFont="1" applyFill="1" applyAlignment="1">
      <alignment vertical="center" wrapText="1"/>
    </xf>
    <xf numFmtId="0" fontId="34" fillId="2" borderId="0" xfId="0" applyFont="1" applyFill="1" applyAlignment="1">
      <alignment horizontal="left" vertical="center" wrapText="1"/>
    </xf>
    <xf numFmtId="2" fontId="36" fillId="2" borderId="3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2" fontId="37" fillId="2" borderId="3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167" fontId="12" fillId="0" borderId="3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2" fontId="12" fillId="2" borderId="3" xfId="11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2" fontId="37" fillId="2" borderId="3" xfId="0" applyNumberFormat="1" applyFont="1" applyFill="1" applyBorder="1" applyAlignment="1">
      <alignment horizontal="center" vertical="center" wrapText="1"/>
    </xf>
    <xf numFmtId="2" fontId="32" fillId="2" borderId="4" xfId="0" applyNumberFormat="1" applyFont="1" applyFill="1" applyBorder="1" applyAlignment="1">
      <alignment horizontal="center" vertical="center" wrapText="1"/>
    </xf>
    <xf numFmtId="2" fontId="38" fillId="2" borderId="3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2" fontId="32" fillId="2" borderId="3" xfId="0" applyNumberFormat="1" applyFont="1" applyFill="1" applyBorder="1" applyAlignment="1">
      <alignment horizontal="right" vertical="center" wrapText="1" indent="2"/>
    </xf>
    <xf numFmtId="2" fontId="32" fillId="2" borderId="3" xfId="0" applyNumberFormat="1" applyFont="1" applyFill="1" applyBorder="1" applyAlignment="1">
      <alignment horizontal="center" vertical="center"/>
    </xf>
    <xf numFmtId="2" fontId="37" fillId="2" borderId="3" xfId="0" applyNumberFormat="1" applyFont="1" applyFill="1" applyBorder="1" applyAlignment="1">
      <alignment vertical="center" wrapText="1"/>
    </xf>
    <xf numFmtId="2" fontId="37" fillId="0" borderId="3" xfId="0" applyNumberFormat="1" applyFont="1" applyBorder="1" applyAlignment="1">
      <alignment vertical="center" wrapText="1"/>
    </xf>
    <xf numFmtId="2" fontId="10" fillId="0" borderId="6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 wrapText="1"/>
    </xf>
    <xf numFmtId="2" fontId="37" fillId="0" borderId="3" xfId="0" applyNumberFormat="1" applyFont="1" applyBorder="1" applyAlignment="1">
      <alignment horizontal="center" vertical="center" wrapText="1"/>
    </xf>
    <xf numFmtId="0" fontId="39" fillId="2" borderId="3" xfId="0" applyFont="1" applyFill="1" applyBorder="1"/>
    <xf numFmtId="167" fontId="39" fillId="2" borderId="3" xfId="0" applyNumberFormat="1" applyFont="1" applyFill="1" applyBorder="1"/>
    <xf numFmtId="2" fontId="16" fillId="2" borderId="3" xfId="0" applyNumberFormat="1" applyFont="1" applyFill="1" applyBorder="1" applyAlignment="1">
      <alignment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8" fillId="0" borderId="2" xfId="17" applyFont="1" applyBorder="1" applyAlignment="1">
      <alignment vertical="center" wrapText="1"/>
    </xf>
    <xf numFmtId="0" fontId="8" fillId="0" borderId="0" xfId="17" applyFont="1" applyAlignment="1">
      <alignment horizontal="center" vertical="center" wrapText="1"/>
    </xf>
    <xf numFmtId="0" fontId="5" fillId="0" borderId="0" xfId="17" applyFont="1" applyAlignment="1">
      <alignment vertical="center" wrapText="1"/>
    </xf>
    <xf numFmtId="0" fontId="8" fillId="0" borderId="3" xfId="17" applyFont="1" applyBorder="1" applyAlignment="1">
      <alignment horizontal="center" vertical="center" wrapText="1"/>
    </xf>
    <xf numFmtId="2" fontId="8" fillId="0" borderId="3" xfId="17" applyNumberFormat="1" applyFont="1" applyBorder="1" applyAlignment="1">
      <alignment horizontal="center" vertical="center" wrapText="1"/>
    </xf>
    <xf numFmtId="2" fontId="8" fillId="0" borderId="11" xfId="17" applyNumberFormat="1" applyFont="1" applyBorder="1" applyAlignment="1">
      <alignment horizontal="center" vertical="center" wrapText="1"/>
    </xf>
    <xf numFmtId="2" fontId="8" fillId="0" borderId="5" xfId="17" applyNumberFormat="1" applyFont="1" applyBorder="1" applyAlignment="1">
      <alignment horizontal="center" vertical="center" wrapText="1"/>
    </xf>
    <xf numFmtId="0" fontId="8" fillId="0" borderId="4" xfId="17" applyFont="1" applyBorder="1" applyAlignment="1">
      <alignment horizontal="center" vertical="center" wrapText="1"/>
    </xf>
    <xf numFmtId="2" fontId="13" fillId="0" borderId="4" xfId="17" applyNumberFormat="1" applyFont="1" applyBorder="1" applyAlignment="1">
      <alignment vertical="center"/>
    </xf>
    <xf numFmtId="0" fontId="13" fillId="0" borderId="3" xfId="17" applyFont="1" applyBorder="1" applyAlignment="1">
      <alignment horizontal="left" vertical="center" wrapText="1"/>
    </xf>
    <xf numFmtId="2" fontId="13" fillId="0" borderId="11" xfId="18" applyNumberFormat="1" applyFont="1" applyBorder="1" applyAlignment="1">
      <alignment horizontal="center" vertical="center" wrapText="1"/>
    </xf>
    <xf numFmtId="2" fontId="13" fillId="0" borderId="3" xfId="18" applyNumberFormat="1" applyFont="1" applyBorder="1" applyAlignment="1">
      <alignment horizontal="center" vertical="center" wrapText="1"/>
    </xf>
    <xf numFmtId="0" fontId="5" fillId="0" borderId="0" xfId="17" applyFont="1" applyAlignment="1">
      <alignment vertical="center"/>
    </xf>
    <xf numFmtId="2" fontId="13" fillId="0" borderId="4" xfId="17" applyNumberFormat="1" applyFont="1" applyBorder="1" applyAlignment="1">
      <alignment vertical="center" wrapText="1"/>
    </xf>
    <xf numFmtId="0" fontId="13" fillId="0" borderId="4" xfId="17" applyFont="1" applyBorder="1" applyAlignment="1">
      <alignment horizontal="left" vertical="center" wrapText="1"/>
    </xf>
    <xf numFmtId="0" fontId="13" fillId="0" borderId="3" xfId="17" applyFont="1" applyBorder="1" applyAlignment="1">
      <alignment vertical="center" wrapText="1"/>
    </xf>
    <xf numFmtId="165" fontId="13" fillId="0" borderId="11" xfId="18" applyNumberFormat="1" applyFont="1" applyBorder="1" applyAlignment="1">
      <alignment horizontal="center" vertical="center" wrapText="1"/>
    </xf>
    <xf numFmtId="165" fontId="13" fillId="0" borderId="3" xfId="18" applyNumberFormat="1" applyFont="1" applyBorder="1" applyAlignment="1">
      <alignment horizontal="center" vertical="center" wrapText="1"/>
    </xf>
    <xf numFmtId="2" fontId="13" fillId="0" borderId="3" xfId="17" applyNumberFormat="1" applyFont="1" applyBorder="1" applyAlignment="1">
      <alignment horizontal="left" vertical="center"/>
    </xf>
    <xf numFmtId="0" fontId="13" fillId="0" borderId="7" xfId="17" applyFont="1" applyBorder="1" applyAlignment="1">
      <alignment horizontal="left" vertical="center" wrapText="1"/>
    </xf>
    <xf numFmtId="2" fontId="13" fillId="0" borderId="13" xfId="18" applyNumberFormat="1" applyFont="1" applyBorder="1" applyAlignment="1">
      <alignment horizontal="center" vertical="center" wrapText="1"/>
    </xf>
    <xf numFmtId="2" fontId="13" fillId="0" borderId="4" xfId="18" applyNumberFormat="1" applyFont="1" applyBorder="1" applyAlignment="1">
      <alignment horizontal="center" vertical="center" wrapText="1"/>
    </xf>
    <xf numFmtId="0" fontId="8" fillId="0" borderId="0" xfId="17" applyFont="1" applyAlignment="1">
      <alignment horizontal="center" vertical="center"/>
    </xf>
    <xf numFmtId="0" fontId="5" fillId="0" borderId="0" xfId="17" applyFont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 wrapText="1"/>
    </xf>
    <xf numFmtId="2" fontId="38" fillId="2" borderId="3" xfId="0" applyNumberFormat="1" applyFont="1" applyFill="1" applyBorder="1" applyAlignment="1">
      <alignment horizontal="center" vertical="center" wrapText="1"/>
    </xf>
    <xf numFmtId="2" fontId="32" fillId="4" borderId="3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34" fillId="2" borderId="4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0" fillId="5" borderId="3" xfId="0" applyNumberFormat="1" applyFill="1" applyBorder="1" applyAlignment="1">
      <alignment vertical="center" wrapText="1"/>
    </xf>
    <xf numFmtId="0" fontId="0" fillId="0" borderId="3" xfId="0" applyBorder="1"/>
    <xf numFmtId="2" fontId="0" fillId="0" borderId="3" xfId="0" applyNumberFormat="1" applyBorder="1" applyAlignment="1">
      <alignment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168" fontId="12" fillId="2" borderId="3" xfId="0" applyNumberFormat="1" applyFont="1" applyFill="1" applyBorder="1" applyAlignment="1">
      <alignment horizontal="center" vertical="center" wrapText="1"/>
    </xf>
    <xf numFmtId="165" fontId="12" fillId="2" borderId="3" xfId="11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8" fontId="12" fillId="2" borderId="11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31" fillId="0" borderId="3" xfId="0" applyFont="1" applyBorder="1" applyAlignment="1">
      <alignment horizontal="center"/>
    </xf>
    <xf numFmtId="0" fontId="5" fillId="0" borderId="3" xfId="17" applyFont="1" applyBorder="1" applyAlignment="1">
      <alignment vertical="center"/>
    </xf>
    <xf numFmtId="0" fontId="5" fillId="0" borderId="3" xfId="17" applyFont="1" applyBorder="1" applyAlignment="1">
      <alignment horizontal="center" vertical="center"/>
    </xf>
    <xf numFmtId="2" fontId="41" fillId="0" borderId="11" xfId="17" applyNumberFormat="1" applyFont="1" applyBorder="1" applyAlignment="1">
      <alignment horizontal="center" vertical="center" wrapText="1"/>
    </xf>
    <xf numFmtId="2" fontId="13" fillId="0" borderId="3" xfId="17" applyNumberFormat="1" applyFont="1" applyBorder="1" applyAlignment="1">
      <alignment vertical="center"/>
    </xf>
    <xf numFmtId="0" fontId="14" fillId="0" borderId="3" xfId="17" applyFont="1" applyBorder="1" applyAlignment="1">
      <alignment vertical="center" wrapText="1"/>
    </xf>
    <xf numFmtId="2" fontId="13" fillId="0" borderId="4" xfId="17" applyNumberFormat="1" applyFont="1" applyBorder="1" applyAlignment="1">
      <alignment horizontal="left" vertical="center" wrapText="1"/>
    </xf>
    <xf numFmtId="0" fontId="5" fillId="0" borderId="4" xfId="17" applyFont="1" applyBorder="1" applyAlignment="1">
      <alignment vertical="center"/>
    </xf>
    <xf numFmtId="0" fontId="8" fillId="0" borderId="3" xfId="17" applyFont="1" applyBorder="1" applyAlignment="1">
      <alignment horizontal="center" vertical="center"/>
    </xf>
    <xf numFmtId="2" fontId="8" fillId="0" borderId="3" xfId="17" applyNumberFormat="1" applyFont="1" applyBorder="1" applyAlignment="1">
      <alignment horizontal="center" vertical="center"/>
    </xf>
    <xf numFmtId="2" fontId="13" fillId="0" borderId="3" xfId="17" applyNumberFormat="1" applyFont="1" applyBorder="1" applyAlignment="1">
      <alignment vertical="center" wrapText="1"/>
    </xf>
    <xf numFmtId="2" fontId="13" fillId="0" borderId="4" xfId="17" applyNumberFormat="1" applyFont="1" applyBorder="1" applyAlignment="1">
      <alignment horizontal="left" vertical="center"/>
    </xf>
    <xf numFmtId="0" fontId="13" fillId="0" borderId="4" xfId="17" applyFont="1" applyBorder="1" applyAlignment="1">
      <alignment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0" fillId="6" borderId="0" xfId="0" applyNumberFormat="1" applyFill="1" applyAlignment="1">
      <alignment horizontal="center" vertical="center"/>
    </xf>
    <xf numFmtId="2" fontId="4" fillId="6" borderId="3" xfId="0" applyNumberFormat="1" applyFont="1" applyFill="1" applyBorder="1" applyAlignment="1">
      <alignment horizontal="center" vertical="center"/>
    </xf>
    <xf numFmtId="2" fontId="4" fillId="6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2" fontId="29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textRotation="90"/>
    </xf>
    <xf numFmtId="2" fontId="10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2" fontId="27" fillId="6" borderId="0" xfId="0" applyNumberFormat="1" applyFont="1" applyFill="1" applyAlignment="1">
      <alignment horizontal="center" vertical="center"/>
    </xf>
    <xf numFmtId="2" fontId="28" fillId="6" borderId="3" xfId="0" applyNumberFormat="1" applyFont="1" applyFill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2" xfId="17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21">
    <cellStyle name="Currency" xfId="11" builtinId="4"/>
    <cellStyle name="Currency 2" xfId="14" xr:uid="{B4F48556-687C-435E-AE5B-58CE8D6E8B08}"/>
    <cellStyle name="Currency 2 2" xfId="20" xr:uid="{38B6CD0F-381E-4013-9852-9B8831EC40D3}"/>
    <cellStyle name="Hyperlink" xfId="19" builtinId="8"/>
    <cellStyle name="Normal" xfId="0" builtinId="0"/>
    <cellStyle name="Normal 2" xfId="1" xr:uid="{00000000-0005-0000-0000-000003000000}"/>
    <cellStyle name="Normal 2 2" xfId="2" xr:uid="{00000000-0005-0000-0000-000004000000}"/>
    <cellStyle name="Normal 2 2 3" xfId="4" xr:uid="{00000000-0005-0000-0000-000005000000}"/>
    <cellStyle name="Normal 2 3" xfId="13" xr:uid="{00000000-0005-0000-0000-000006000000}"/>
    <cellStyle name="Normal 3" xfId="5" xr:uid="{00000000-0005-0000-0000-000007000000}"/>
    <cellStyle name="Normal 3 2" xfId="8" xr:uid="{00000000-0005-0000-0000-000008000000}"/>
    <cellStyle name="Normal 3 2 3 2 2" xfId="3" xr:uid="{00000000-0005-0000-0000-000009000000}"/>
    <cellStyle name="Normal 3 3" xfId="10" xr:uid="{00000000-0005-0000-0000-00000A000000}"/>
    <cellStyle name="Normal 4" xfId="7" xr:uid="{00000000-0005-0000-0000-00000B000000}"/>
    <cellStyle name="Normal 5" xfId="9" xr:uid="{00000000-0005-0000-0000-00000C000000}"/>
    <cellStyle name="Normal 5 2" xfId="16" xr:uid="{2F4BB22C-29A0-4F6A-BBD6-BB2129FC2689}"/>
    <cellStyle name="Normal 5 2 2" xfId="18" xr:uid="{DD840FF0-85E4-47F4-83B3-929681D16DE1}"/>
    <cellStyle name="Normal 6" xfId="6" xr:uid="{00000000-0005-0000-0000-00000D000000}"/>
    <cellStyle name="Normal 7" xfId="12" xr:uid="{00000000-0005-0000-0000-00000E000000}"/>
    <cellStyle name="Normal 8" xfId="15" xr:uid="{EFD798C4-DE48-4768-AD8B-F637FFFF1E63}"/>
    <cellStyle name="Normal 9" xfId="17" xr:uid="{D7A776D4-9B87-4365-9C0F-0C9BDC932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</xdr:colOff>
      <xdr:row>0</xdr:row>
      <xdr:rowOff>14835</xdr:rowOff>
    </xdr:from>
    <xdr:ext cx="2202180" cy="2958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4D3D94-4D85-41BF-BC4B-DDC008944AF5}"/>
            </a:ext>
          </a:extLst>
        </xdr:cNvPr>
        <xdr:cNvSpPr txBox="1"/>
      </xdr:nvSpPr>
      <xdr:spPr>
        <a:xfrm>
          <a:off x="7399020" y="14835"/>
          <a:ext cx="2202180" cy="295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endParaRPr lang="en-IN" sz="13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53C6-5CA0-44C8-A482-D45EB2C6211E}">
  <sheetPr>
    <pageSetUpPr fitToPage="1"/>
  </sheetPr>
  <dimension ref="A1:G42"/>
  <sheetViews>
    <sheetView tabSelected="1" view="pageBreakPreview" zoomScale="115" zoomScaleNormal="110" zoomScaleSheetLayoutView="115" workbookViewId="0">
      <pane ySplit="2" topLeftCell="A3" activePane="bottomLeft" state="frozen"/>
      <selection activeCell="F5" sqref="F5"/>
      <selection pane="bottomLeft" activeCell="K41" sqref="K41"/>
    </sheetView>
  </sheetViews>
  <sheetFormatPr defaultColWidth="8.85546875" defaultRowHeight="15.75" x14ac:dyDescent="0.25"/>
  <cols>
    <col min="1" max="1" width="8.85546875" style="141"/>
    <col min="2" max="2" width="7.28515625" style="141" customWidth="1"/>
    <col min="3" max="3" width="22.5703125" style="132" customWidth="1"/>
    <col min="4" max="4" width="21.140625" style="151" customWidth="1"/>
    <col min="5" max="7" width="17.7109375" style="151" customWidth="1"/>
    <col min="8" max="16384" width="8.85546875" style="132"/>
  </cols>
  <sheetData>
    <row r="1" spans="1:7" x14ac:dyDescent="0.25">
      <c r="A1" s="318" t="s">
        <v>1016</v>
      </c>
      <c r="B1" s="318"/>
      <c r="C1" s="318"/>
      <c r="D1" s="318"/>
      <c r="E1" s="318"/>
      <c r="F1" s="318"/>
      <c r="G1" s="318"/>
    </row>
    <row r="2" spans="1:7" s="145" customFormat="1" ht="31.5" x14ac:dyDescent="0.25">
      <c r="A2" s="143" t="s">
        <v>17</v>
      </c>
      <c r="B2" s="133" t="s">
        <v>815</v>
      </c>
      <c r="C2" s="143" t="s">
        <v>18</v>
      </c>
      <c r="D2" s="133" t="s">
        <v>1018</v>
      </c>
      <c r="E2" s="133" t="s">
        <v>19</v>
      </c>
      <c r="F2" s="144" t="s">
        <v>1017</v>
      </c>
      <c r="G2" s="144" t="s">
        <v>1048</v>
      </c>
    </row>
    <row r="3" spans="1:7" s="138" customFormat="1" ht="24" customHeight="1" x14ac:dyDescent="0.25">
      <c r="A3" s="146">
        <v>1</v>
      </c>
      <c r="B3" s="314" t="s">
        <v>795</v>
      </c>
      <c r="C3" s="136" t="s">
        <v>800</v>
      </c>
      <c r="D3" s="116">
        <f>'State &amp; Dist ROP Final'!C3</f>
        <v>1484.3071</v>
      </c>
      <c r="E3" s="315">
        <v>870.29</v>
      </c>
      <c r="F3" s="317">
        <f>SUM(D3:D8)</f>
        <v>2346.3621000000003</v>
      </c>
      <c r="G3" s="317">
        <f>E3+F3</f>
        <v>3216.6521000000002</v>
      </c>
    </row>
    <row r="4" spans="1:7" s="138" customFormat="1" ht="24" customHeight="1" x14ac:dyDescent="0.25">
      <c r="A4" s="146">
        <v>2</v>
      </c>
      <c r="B4" s="314"/>
      <c r="C4" s="136" t="s">
        <v>816</v>
      </c>
      <c r="D4" s="116">
        <f>'State &amp; Dist ROP Final'!C4</f>
        <v>230.48500000000001</v>
      </c>
      <c r="E4" s="315"/>
      <c r="F4" s="317"/>
      <c r="G4" s="317"/>
    </row>
    <row r="5" spans="1:7" s="138" customFormat="1" ht="24" customHeight="1" x14ac:dyDescent="0.25">
      <c r="A5" s="146">
        <v>3</v>
      </c>
      <c r="B5" s="314"/>
      <c r="C5" s="136" t="s">
        <v>801</v>
      </c>
      <c r="D5" s="116">
        <f>'State &amp; Dist ROP Final'!C5</f>
        <v>329.21000000000009</v>
      </c>
      <c r="E5" s="315"/>
      <c r="F5" s="317"/>
      <c r="G5" s="317"/>
    </row>
    <row r="6" spans="1:7" s="138" customFormat="1" ht="24" customHeight="1" x14ac:dyDescent="0.25">
      <c r="A6" s="146">
        <v>4</v>
      </c>
      <c r="B6" s="314"/>
      <c r="C6" s="136" t="s">
        <v>21</v>
      </c>
      <c r="D6" s="116">
        <f>'State &amp; Dist ROP Final'!C7</f>
        <v>278.51000000000005</v>
      </c>
      <c r="E6" s="315"/>
      <c r="F6" s="317"/>
      <c r="G6" s="317"/>
    </row>
    <row r="7" spans="1:7" s="138" customFormat="1" ht="24" customHeight="1" x14ac:dyDescent="0.25">
      <c r="A7" s="146">
        <v>5</v>
      </c>
      <c r="B7" s="314"/>
      <c r="C7" s="136" t="s">
        <v>22</v>
      </c>
      <c r="D7" s="116">
        <f>'State &amp; Dist ROP Final'!C6</f>
        <v>8.1199999999999992</v>
      </c>
      <c r="E7" s="315"/>
      <c r="F7" s="317"/>
      <c r="G7" s="317"/>
    </row>
    <row r="8" spans="1:7" s="138" customFormat="1" ht="24" customHeight="1" x14ac:dyDescent="0.25">
      <c r="A8" s="146">
        <v>6</v>
      </c>
      <c r="B8" s="314"/>
      <c r="C8" s="136" t="s">
        <v>23</v>
      </c>
      <c r="D8" s="116">
        <f>'State &amp; Dist ROP Final'!C8</f>
        <v>15.729999999999999</v>
      </c>
      <c r="E8" s="315"/>
      <c r="F8" s="317"/>
      <c r="G8" s="317"/>
    </row>
    <row r="9" spans="1:7" s="138" customFormat="1" ht="24" customHeight="1" x14ac:dyDescent="0.25">
      <c r="A9" s="146">
        <v>7</v>
      </c>
      <c r="B9" s="314" t="s">
        <v>796</v>
      </c>
      <c r="C9" s="136" t="s">
        <v>802</v>
      </c>
      <c r="D9" s="116">
        <f>'State &amp; Dist ROP Final'!C9</f>
        <v>970.22032000000002</v>
      </c>
      <c r="E9" s="315">
        <f>'State &amp; Dist ROP Final'!C63</f>
        <v>7531.8147684659998</v>
      </c>
      <c r="F9" s="317">
        <f>SUM(D9:D24)</f>
        <v>3781.0447200000003</v>
      </c>
      <c r="G9" s="317">
        <f>E9+F9</f>
        <v>11312.859488466</v>
      </c>
    </row>
    <row r="10" spans="1:7" s="138" customFormat="1" ht="24" customHeight="1" x14ac:dyDescent="0.25">
      <c r="A10" s="146">
        <v>8</v>
      </c>
      <c r="B10" s="314"/>
      <c r="C10" s="136" t="s">
        <v>803</v>
      </c>
      <c r="D10" s="116">
        <f>'State &amp; Dist ROP Final'!C10</f>
        <v>9.5</v>
      </c>
      <c r="E10" s="315"/>
      <c r="F10" s="317"/>
      <c r="G10" s="317"/>
    </row>
    <row r="11" spans="1:7" s="138" customFormat="1" ht="24" customHeight="1" x14ac:dyDescent="0.25">
      <c r="A11" s="146">
        <v>9</v>
      </c>
      <c r="B11" s="314"/>
      <c r="C11" s="136" t="s">
        <v>24</v>
      </c>
      <c r="D11" s="116">
        <f>'State &amp; Dist ROP Final'!C11</f>
        <v>42.55</v>
      </c>
      <c r="E11" s="315"/>
      <c r="F11" s="317"/>
      <c r="G11" s="317"/>
    </row>
    <row r="12" spans="1:7" s="138" customFormat="1" ht="24" customHeight="1" x14ac:dyDescent="0.25">
      <c r="A12" s="146">
        <v>10</v>
      </c>
      <c r="B12" s="314"/>
      <c r="C12" s="136" t="s">
        <v>25</v>
      </c>
      <c r="D12" s="116">
        <f>'State &amp; Dist ROP Final'!C12</f>
        <v>121.99000000000001</v>
      </c>
      <c r="E12" s="315"/>
      <c r="F12" s="317"/>
      <c r="G12" s="317"/>
    </row>
    <row r="13" spans="1:7" s="138" customFormat="1" ht="24" customHeight="1" x14ac:dyDescent="0.25">
      <c r="A13" s="146">
        <v>11</v>
      </c>
      <c r="B13" s="314"/>
      <c r="C13" s="136" t="s">
        <v>26</v>
      </c>
      <c r="D13" s="116">
        <f>'State &amp; Dist ROP Final'!C13</f>
        <v>165.56000000000006</v>
      </c>
      <c r="E13" s="315"/>
      <c r="F13" s="317"/>
      <c r="G13" s="317"/>
    </row>
    <row r="14" spans="1:7" s="138" customFormat="1" ht="24" customHeight="1" x14ac:dyDescent="0.25">
      <c r="A14" s="146">
        <v>12</v>
      </c>
      <c r="B14" s="314"/>
      <c r="C14" s="136" t="s">
        <v>27</v>
      </c>
      <c r="D14" s="116">
        <f>'State &amp; Dist ROP Final'!C14</f>
        <v>321.77500000000003</v>
      </c>
      <c r="E14" s="315"/>
      <c r="F14" s="317"/>
      <c r="G14" s="317"/>
    </row>
    <row r="15" spans="1:7" s="138" customFormat="1" ht="24" customHeight="1" x14ac:dyDescent="0.25">
      <c r="A15" s="146">
        <v>13</v>
      </c>
      <c r="B15" s="314"/>
      <c r="C15" s="136" t="s">
        <v>28</v>
      </c>
      <c r="D15" s="116">
        <f>'State &amp; Dist ROP Final'!C16</f>
        <v>73.989999999999981</v>
      </c>
      <c r="E15" s="315"/>
      <c r="F15" s="317"/>
      <c r="G15" s="317"/>
    </row>
    <row r="16" spans="1:7" s="138" customFormat="1" ht="31.5" x14ac:dyDescent="0.25">
      <c r="A16" s="146">
        <v>14</v>
      </c>
      <c r="B16" s="314"/>
      <c r="C16" s="137" t="s">
        <v>817</v>
      </c>
      <c r="D16" s="116">
        <f>'State &amp; Dist ROP Final'!C17</f>
        <v>358.38</v>
      </c>
      <c r="E16" s="315"/>
      <c r="F16" s="317"/>
      <c r="G16" s="317"/>
    </row>
    <row r="17" spans="1:7" s="138" customFormat="1" ht="24" customHeight="1" x14ac:dyDescent="0.25">
      <c r="A17" s="146">
        <v>15</v>
      </c>
      <c r="B17" s="314"/>
      <c r="C17" s="136" t="s">
        <v>806</v>
      </c>
      <c r="D17" s="116">
        <f>'State &amp; Dist ROP Final'!C18</f>
        <v>886.08000000000015</v>
      </c>
      <c r="E17" s="315"/>
      <c r="F17" s="317"/>
      <c r="G17" s="317"/>
    </row>
    <row r="18" spans="1:7" s="138" customFormat="1" ht="24" customHeight="1" x14ac:dyDescent="0.25">
      <c r="A18" s="146">
        <v>16</v>
      </c>
      <c r="B18" s="314"/>
      <c r="C18" s="136" t="s">
        <v>807</v>
      </c>
      <c r="D18" s="116">
        <f>'State &amp; Dist ROP Final'!C19</f>
        <v>221.83999999999997</v>
      </c>
      <c r="E18" s="315"/>
      <c r="F18" s="317"/>
      <c r="G18" s="317"/>
    </row>
    <row r="19" spans="1:7" s="138" customFormat="1" ht="24" customHeight="1" x14ac:dyDescent="0.25">
      <c r="A19" s="146">
        <v>17</v>
      </c>
      <c r="B19" s="314"/>
      <c r="C19" s="136" t="s">
        <v>115</v>
      </c>
      <c r="D19" s="116">
        <f>'State &amp; Dist ROP Final'!C20</f>
        <v>46.18</v>
      </c>
      <c r="E19" s="315"/>
      <c r="F19" s="317"/>
      <c r="G19" s="317"/>
    </row>
    <row r="20" spans="1:7" s="138" customFormat="1" ht="24" customHeight="1" x14ac:dyDescent="0.25">
      <c r="A20" s="146">
        <v>18</v>
      </c>
      <c r="B20" s="314"/>
      <c r="C20" s="137" t="s">
        <v>980</v>
      </c>
      <c r="D20" s="116">
        <f>'State &amp; Dist ROP Final'!C21</f>
        <v>8.8000000000000007</v>
      </c>
      <c r="E20" s="315"/>
      <c r="F20" s="317"/>
      <c r="G20" s="317"/>
    </row>
    <row r="21" spans="1:7" s="138" customFormat="1" ht="24" customHeight="1" x14ac:dyDescent="0.25">
      <c r="A21" s="146">
        <v>19</v>
      </c>
      <c r="B21" s="314"/>
      <c r="C21" s="239" t="s">
        <v>989</v>
      </c>
      <c r="D21" s="116">
        <f>'State &amp; Dist ROP Final'!C22</f>
        <v>487.33139999999992</v>
      </c>
      <c r="E21" s="315"/>
      <c r="F21" s="317"/>
      <c r="G21" s="317"/>
    </row>
    <row r="22" spans="1:7" s="138" customFormat="1" ht="24" customHeight="1" x14ac:dyDescent="0.25">
      <c r="A22" s="146">
        <v>20</v>
      </c>
      <c r="B22" s="314"/>
      <c r="C22" s="136" t="s">
        <v>33</v>
      </c>
      <c r="D22" s="116">
        <f>'State &amp; Dist ROP Final'!C24</f>
        <v>28.148</v>
      </c>
      <c r="E22" s="315"/>
      <c r="F22" s="317"/>
      <c r="G22" s="317"/>
    </row>
    <row r="23" spans="1:7" s="138" customFormat="1" ht="31.5" x14ac:dyDescent="0.25">
      <c r="A23" s="146">
        <v>21</v>
      </c>
      <c r="B23" s="314"/>
      <c r="C23" s="137" t="s">
        <v>949</v>
      </c>
      <c r="D23" s="116">
        <f>'State &amp; Dist ROP Final'!C15</f>
        <v>10.7</v>
      </c>
      <c r="E23" s="315"/>
      <c r="F23" s="317"/>
      <c r="G23" s="317"/>
    </row>
    <row r="24" spans="1:7" s="138" customFormat="1" ht="31.5" x14ac:dyDescent="0.25">
      <c r="A24" s="146">
        <v>22</v>
      </c>
      <c r="B24" s="314"/>
      <c r="C24" s="149" t="s">
        <v>818</v>
      </c>
      <c r="D24" s="116">
        <f>'State &amp; Dist ROP Final'!C23</f>
        <v>28</v>
      </c>
      <c r="E24" s="315"/>
      <c r="F24" s="317"/>
      <c r="G24" s="317"/>
    </row>
    <row r="25" spans="1:7" s="138" customFormat="1" ht="24" customHeight="1" x14ac:dyDescent="0.25">
      <c r="A25" s="146">
        <v>23</v>
      </c>
      <c r="B25" s="314" t="s">
        <v>797</v>
      </c>
      <c r="C25" s="136" t="s">
        <v>35</v>
      </c>
      <c r="D25" s="116">
        <f>'State &amp; Dist ROP Final'!C25</f>
        <v>34.21</v>
      </c>
      <c r="E25" s="315">
        <v>416.17</v>
      </c>
      <c r="F25" s="316">
        <f>SUM(D25:D30)</f>
        <v>1899.1727940000001</v>
      </c>
      <c r="G25" s="317">
        <f>E25+F25</f>
        <v>2315.3427940000001</v>
      </c>
    </row>
    <row r="26" spans="1:7" s="138" customFormat="1" ht="24" customHeight="1" x14ac:dyDescent="0.25">
      <c r="A26" s="146">
        <v>24</v>
      </c>
      <c r="B26" s="314"/>
      <c r="C26" s="136" t="s">
        <v>36</v>
      </c>
      <c r="D26" s="116">
        <f>'State &amp; Dist ROP Final'!C26</f>
        <v>17.139999999999997</v>
      </c>
      <c r="E26" s="315"/>
      <c r="F26" s="316"/>
      <c r="G26" s="317"/>
    </row>
    <row r="27" spans="1:7" s="138" customFormat="1" ht="24" customHeight="1" x14ac:dyDescent="0.25">
      <c r="A27" s="146">
        <v>25</v>
      </c>
      <c r="B27" s="314"/>
      <c r="C27" s="136" t="s">
        <v>37</v>
      </c>
      <c r="D27" s="116">
        <f>'State &amp; Dist ROP Final'!C27</f>
        <v>768.57779399999993</v>
      </c>
      <c r="E27" s="315"/>
      <c r="F27" s="316"/>
      <c r="G27" s="317"/>
    </row>
    <row r="28" spans="1:7" s="138" customFormat="1" ht="24" customHeight="1" x14ac:dyDescent="0.25">
      <c r="A28" s="146">
        <v>26</v>
      </c>
      <c r="B28" s="314"/>
      <c r="C28" s="136" t="s">
        <v>38</v>
      </c>
      <c r="D28" s="116">
        <f>'State &amp; Dist ROP Final'!C28</f>
        <v>761.23500000000013</v>
      </c>
      <c r="E28" s="315"/>
      <c r="F28" s="316"/>
      <c r="G28" s="317"/>
    </row>
    <row r="29" spans="1:7" s="138" customFormat="1" ht="24" customHeight="1" x14ac:dyDescent="0.25">
      <c r="A29" s="146">
        <v>27</v>
      </c>
      <c r="B29" s="314"/>
      <c r="C29" s="136" t="s">
        <v>809</v>
      </c>
      <c r="D29" s="116">
        <f>'State &amp; Dist ROP Final'!C29</f>
        <v>294.92</v>
      </c>
      <c r="E29" s="315"/>
      <c r="F29" s="316"/>
      <c r="G29" s="317"/>
    </row>
    <row r="30" spans="1:7" s="138" customFormat="1" ht="24" customHeight="1" x14ac:dyDescent="0.25">
      <c r="A30" s="146">
        <v>28</v>
      </c>
      <c r="B30" s="314"/>
      <c r="C30" s="136" t="s">
        <v>39</v>
      </c>
      <c r="D30" s="116">
        <f>'State &amp; Dist ROP Final'!C30</f>
        <v>23.09</v>
      </c>
      <c r="E30" s="315"/>
      <c r="F30" s="316"/>
      <c r="G30" s="317"/>
    </row>
    <row r="31" spans="1:7" s="138" customFormat="1" ht="24" customHeight="1" x14ac:dyDescent="0.25">
      <c r="A31" s="146">
        <v>29</v>
      </c>
      <c r="B31" s="314" t="s">
        <v>798</v>
      </c>
      <c r="C31" s="136" t="s">
        <v>810</v>
      </c>
      <c r="D31" s="116">
        <f>'State &amp; Dist ROP Final'!C32</f>
        <v>114.03</v>
      </c>
      <c r="E31" s="315">
        <v>201.04</v>
      </c>
      <c r="F31" s="317">
        <f>SUM(D31:D40)</f>
        <v>650.99</v>
      </c>
      <c r="G31" s="317">
        <f>E31+F31</f>
        <v>852.03</v>
      </c>
    </row>
    <row r="32" spans="1:7" s="138" customFormat="1" ht="24" customHeight="1" x14ac:dyDescent="0.25">
      <c r="A32" s="146">
        <v>30</v>
      </c>
      <c r="B32" s="314"/>
      <c r="C32" s="136" t="s">
        <v>40</v>
      </c>
      <c r="D32" s="116">
        <f>'State &amp; Dist ROP Final'!C33</f>
        <v>63.3</v>
      </c>
      <c r="E32" s="315"/>
      <c r="F32" s="317"/>
      <c r="G32" s="317"/>
    </row>
    <row r="33" spans="1:7" s="138" customFormat="1" ht="24" customHeight="1" x14ac:dyDescent="0.25">
      <c r="A33" s="146">
        <v>31</v>
      </c>
      <c r="B33" s="314"/>
      <c r="C33" s="136" t="s">
        <v>1047</v>
      </c>
      <c r="D33" s="116">
        <f>'State &amp; Dist ROP Final'!C34</f>
        <v>156.70500000000001</v>
      </c>
      <c r="E33" s="315"/>
      <c r="F33" s="317"/>
      <c r="G33" s="317"/>
    </row>
    <row r="34" spans="1:7" s="138" customFormat="1" ht="24" customHeight="1" x14ac:dyDescent="0.25">
      <c r="A34" s="146">
        <v>32</v>
      </c>
      <c r="B34" s="314"/>
      <c r="C34" s="136" t="s">
        <v>42</v>
      </c>
      <c r="D34" s="116">
        <f>'State &amp; Dist ROP Final'!C35</f>
        <v>45.550000000000004</v>
      </c>
      <c r="E34" s="315"/>
      <c r="F34" s="317"/>
      <c r="G34" s="317"/>
    </row>
    <row r="35" spans="1:7" s="138" customFormat="1" ht="24" customHeight="1" x14ac:dyDescent="0.25">
      <c r="A35" s="146">
        <v>33</v>
      </c>
      <c r="B35" s="314"/>
      <c r="C35" s="136" t="s">
        <v>43</v>
      </c>
      <c r="D35" s="116">
        <f>'State &amp; Dist ROP Final'!C36</f>
        <v>70.543000000000006</v>
      </c>
      <c r="E35" s="315"/>
      <c r="F35" s="317"/>
      <c r="G35" s="317"/>
    </row>
    <row r="36" spans="1:7" s="138" customFormat="1" ht="24" customHeight="1" x14ac:dyDescent="0.25">
      <c r="A36" s="146">
        <v>34</v>
      </c>
      <c r="B36" s="314"/>
      <c r="C36" s="136" t="s">
        <v>811</v>
      </c>
      <c r="D36" s="116">
        <f>'State &amp; Dist ROP Final'!C38</f>
        <v>59.510000000000005</v>
      </c>
      <c r="E36" s="315"/>
      <c r="F36" s="317"/>
      <c r="G36" s="317"/>
    </row>
    <row r="37" spans="1:7" s="138" customFormat="1" ht="24" customHeight="1" x14ac:dyDescent="0.25">
      <c r="A37" s="146">
        <v>35</v>
      </c>
      <c r="B37" s="314"/>
      <c r="C37" s="136" t="s">
        <v>31</v>
      </c>
      <c r="D37" s="116">
        <f>'State &amp; Dist ROP Final'!C39</f>
        <v>20.28</v>
      </c>
      <c r="E37" s="315"/>
      <c r="F37" s="317"/>
      <c r="G37" s="317"/>
    </row>
    <row r="38" spans="1:7" s="138" customFormat="1" ht="24" customHeight="1" x14ac:dyDescent="0.25">
      <c r="A38" s="146">
        <v>36</v>
      </c>
      <c r="B38" s="314"/>
      <c r="C38" s="136" t="s">
        <v>32</v>
      </c>
      <c r="D38" s="116">
        <f>'State &amp; Dist ROP Final'!C40</f>
        <v>35.29</v>
      </c>
      <c r="E38" s="315"/>
      <c r="F38" s="317"/>
      <c r="G38" s="317"/>
    </row>
    <row r="39" spans="1:7" s="138" customFormat="1" ht="24" customHeight="1" x14ac:dyDescent="0.25">
      <c r="A39" s="146">
        <v>37</v>
      </c>
      <c r="B39" s="314"/>
      <c r="C39" s="136" t="s">
        <v>29</v>
      </c>
      <c r="D39" s="116">
        <f>'State &amp; Dist ROP Final'!C31</f>
        <v>37.6</v>
      </c>
      <c r="E39" s="315"/>
      <c r="F39" s="317"/>
      <c r="G39" s="317"/>
    </row>
    <row r="40" spans="1:7" s="138" customFormat="1" ht="24" customHeight="1" x14ac:dyDescent="0.25">
      <c r="A40" s="146">
        <v>38</v>
      </c>
      <c r="B40" s="314"/>
      <c r="C40" s="136" t="s">
        <v>812</v>
      </c>
      <c r="D40" s="116">
        <f>'State &amp; Dist ROP Final'!C41</f>
        <v>48.181999999999995</v>
      </c>
      <c r="E40" s="315"/>
      <c r="F40" s="317"/>
      <c r="G40" s="317"/>
    </row>
    <row r="41" spans="1:7" s="138" customFormat="1" ht="39" x14ac:dyDescent="0.25">
      <c r="A41" s="146">
        <v>39</v>
      </c>
      <c r="B41" s="147" t="s">
        <v>16</v>
      </c>
      <c r="C41" s="357" t="s">
        <v>16</v>
      </c>
      <c r="D41" s="116">
        <f>NUHM!G54</f>
        <v>936.2199999999998</v>
      </c>
      <c r="E41" s="116">
        <f>'State &amp; Dist ROP Final'!C60</f>
        <v>527.42999999999995</v>
      </c>
      <c r="F41" s="148">
        <f>NUHM!G55</f>
        <v>408.78999999999985</v>
      </c>
      <c r="G41" s="148">
        <f>E41+F41</f>
        <v>936.2199999999998</v>
      </c>
    </row>
    <row r="42" spans="1:7" s="138" customFormat="1" ht="24" customHeight="1" x14ac:dyDescent="0.25">
      <c r="A42" s="313" t="s">
        <v>325</v>
      </c>
      <c r="B42" s="313"/>
      <c r="C42" s="313"/>
      <c r="D42" s="150">
        <f>SUM(D3:D41)</f>
        <v>9613.789614000003</v>
      </c>
      <c r="E42" s="150">
        <f>E41+E31+E25+E9+E3</f>
        <v>9546.7447684660001</v>
      </c>
      <c r="F42" s="150">
        <f>SUM(F3:F41)</f>
        <v>9086.3596139999991</v>
      </c>
      <c r="G42" s="150">
        <f>SUM(G3:G41)</f>
        <v>18633.104382466001</v>
      </c>
    </row>
  </sheetData>
  <sheetProtection selectLockedCells="1" selectUnlockedCells="1"/>
  <mergeCells count="18">
    <mergeCell ref="B9:B24"/>
    <mergeCell ref="E9:E24"/>
    <mergeCell ref="F9:F24"/>
    <mergeCell ref="G9:G24"/>
    <mergeCell ref="A1:G1"/>
    <mergeCell ref="B3:B8"/>
    <mergeCell ref="E3:E8"/>
    <mergeCell ref="F3:F8"/>
    <mergeCell ref="G3:G8"/>
    <mergeCell ref="A42:C42"/>
    <mergeCell ref="B25:B30"/>
    <mergeCell ref="E25:E30"/>
    <mergeCell ref="F25:F30"/>
    <mergeCell ref="G25:G30"/>
    <mergeCell ref="B31:B40"/>
    <mergeCell ref="E31:E40"/>
    <mergeCell ref="F31:F40"/>
    <mergeCell ref="G31:G40"/>
  </mergeCells>
  <pageMargins left="0.7" right="0.7" top="0.75" bottom="0.75" header="0.3" footer="0.3"/>
  <pageSetup paperSize="5" scale="80" orientation="portrait" copies="4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3EE3-BF0B-4D68-A9AD-BFCAFEC1665A}">
  <sheetPr>
    <tabColor rgb="FFFF0000"/>
    <pageSetUpPr fitToPage="1"/>
  </sheetPr>
  <dimension ref="A1:R10"/>
  <sheetViews>
    <sheetView view="pageBreakPreview" zoomScale="85" zoomScaleSheetLayoutView="85" workbookViewId="0">
      <selection activeCell="K7" sqref="K7"/>
    </sheetView>
  </sheetViews>
  <sheetFormatPr defaultColWidth="8.85546875" defaultRowHeight="15.75" x14ac:dyDescent="0.25"/>
  <cols>
    <col min="1" max="2" width="12" style="185" customWidth="1"/>
    <col min="3" max="3" width="5.28515625" style="189" bestFit="1" customWidth="1"/>
    <col min="4" max="4" width="21.7109375" style="185" customWidth="1"/>
    <col min="5" max="5" width="29.85546875" style="191" customWidth="1"/>
    <col min="6" max="6" width="54.28515625" style="185" customWidth="1"/>
    <col min="7" max="17" width="12.140625" style="185" customWidth="1"/>
    <col min="18" max="16384" width="8.85546875" style="185"/>
  </cols>
  <sheetData>
    <row r="1" spans="1:18" ht="15" customHeight="1" x14ac:dyDescent="0.25">
      <c r="A1" s="341" t="s">
        <v>851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189" customFormat="1" ht="31.5" x14ac:dyDescent="0.25">
      <c r="A2" s="50" t="s">
        <v>0</v>
      </c>
      <c r="B2" s="50" t="s">
        <v>18</v>
      </c>
      <c r="C2" s="50" t="s">
        <v>17</v>
      </c>
      <c r="D2" s="50" t="s">
        <v>486</v>
      </c>
      <c r="E2" s="50" t="s">
        <v>487</v>
      </c>
      <c r="F2" s="50" t="s">
        <v>988</v>
      </c>
      <c r="G2" s="51" t="s">
        <v>836</v>
      </c>
      <c r="H2" s="41" t="s">
        <v>3</v>
      </c>
      <c r="I2" s="79" t="s">
        <v>4</v>
      </c>
      <c r="J2" s="79" t="s">
        <v>5</v>
      </c>
      <c r="K2" s="79" t="s">
        <v>6</v>
      </c>
      <c r="L2" s="79" t="s">
        <v>7</v>
      </c>
      <c r="M2" s="79" t="s">
        <v>10</v>
      </c>
      <c r="N2" s="79" t="s">
        <v>12</v>
      </c>
      <c r="O2" s="79" t="s">
        <v>9</v>
      </c>
      <c r="P2" s="79" t="s">
        <v>8</v>
      </c>
      <c r="Q2" s="79" t="s">
        <v>11</v>
      </c>
    </row>
    <row r="3" spans="1:18" x14ac:dyDescent="0.25">
      <c r="A3" s="49"/>
      <c r="B3" s="49"/>
      <c r="C3" s="50"/>
      <c r="D3" s="49"/>
      <c r="E3" s="49"/>
      <c r="F3" s="50"/>
      <c r="G3" s="51"/>
      <c r="H3" s="41"/>
      <c r="I3" s="79"/>
      <c r="J3" s="79"/>
      <c r="K3" s="79"/>
      <c r="L3" s="79"/>
      <c r="M3" s="79"/>
      <c r="N3" s="79"/>
      <c r="O3" s="79"/>
      <c r="P3" s="79"/>
      <c r="Q3" s="79"/>
    </row>
    <row r="4" spans="1:18" ht="31.5" x14ac:dyDescent="0.25">
      <c r="A4" s="17" t="s">
        <v>725</v>
      </c>
      <c r="B4" s="17" t="s">
        <v>23</v>
      </c>
      <c r="C4" s="68">
        <v>62</v>
      </c>
      <c r="D4" s="17" t="s">
        <v>753</v>
      </c>
      <c r="E4" s="16" t="s">
        <v>200</v>
      </c>
      <c r="F4" s="169" t="s">
        <v>200</v>
      </c>
      <c r="G4" s="232">
        <f t="shared" ref="G4:G9" si="0">SUM(H4:Q4)</f>
        <v>3.27</v>
      </c>
      <c r="H4" s="232">
        <v>3.27</v>
      </c>
      <c r="I4" s="197"/>
      <c r="J4" s="197"/>
      <c r="K4" s="197"/>
      <c r="L4" s="197"/>
      <c r="M4" s="197"/>
      <c r="N4" s="197"/>
      <c r="O4" s="197"/>
      <c r="P4" s="197"/>
      <c r="Q4" s="197"/>
    </row>
    <row r="5" spans="1:18" ht="48.95" customHeight="1" x14ac:dyDescent="0.25">
      <c r="A5" s="17" t="s">
        <v>725</v>
      </c>
      <c r="B5" s="17" t="s">
        <v>23</v>
      </c>
      <c r="C5" s="68">
        <v>62</v>
      </c>
      <c r="D5" s="17" t="s">
        <v>753</v>
      </c>
      <c r="E5" s="16" t="s">
        <v>463</v>
      </c>
      <c r="F5" s="17" t="s">
        <v>170</v>
      </c>
      <c r="G5" s="233">
        <f t="shared" si="0"/>
        <v>0.66</v>
      </c>
      <c r="H5" s="233">
        <v>0.66</v>
      </c>
      <c r="I5" s="58"/>
      <c r="J5" s="58"/>
      <c r="K5" s="58"/>
      <c r="L5" s="58"/>
      <c r="M5" s="58"/>
      <c r="N5" s="58"/>
      <c r="O5" s="58"/>
      <c r="P5" s="58"/>
      <c r="Q5" s="58"/>
    </row>
    <row r="6" spans="1:18" ht="31.5" x14ac:dyDescent="0.25">
      <c r="A6" s="17" t="s">
        <v>725</v>
      </c>
      <c r="B6" s="17" t="s">
        <v>23</v>
      </c>
      <c r="C6" s="68">
        <v>62</v>
      </c>
      <c r="D6" s="17" t="s">
        <v>753</v>
      </c>
      <c r="E6" s="16" t="s">
        <v>463</v>
      </c>
      <c r="F6" s="17" t="s">
        <v>171</v>
      </c>
      <c r="G6" s="233">
        <f t="shared" si="0"/>
        <v>6</v>
      </c>
      <c r="H6" s="233">
        <v>6</v>
      </c>
      <c r="I6" s="58"/>
      <c r="J6" s="58"/>
      <c r="K6" s="58"/>
      <c r="L6" s="58"/>
      <c r="M6" s="58"/>
      <c r="N6" s="58"/>
      <c r="O6" s="58"/>
      <c r="P6" s="58"/>
      <c r="Q6" s="58"/>
    </row>
    <row r="7" spans="1:18" ht="31.5" x14ac:dyDescent="0.25">
      <c r="A7" s="17" t="s">
        <v>725</v>
      </c>
      <c r="B7" s="17" t="s">
        <v>23</v>
      </c>
      <c r="C7" s="68">
        <v>62</v>
      </c>
      <c r="D7" s="17" t="s">
        <v>753</v>
      </c>
      <c r="E7" s="16" t="s">
        <v>416</v>
      </c>
      <c r="F7" s="18" t="s">
        <v>172</v>
      </c>
      <c r="G7" s="233">
        <f t="shared" si="0"/>
        <v>1</v>
      </c>
      <c r="H7" s="233">
        <v>1</v>
      </c>
      <c r="I7" s="58"/>
      <c r="J7" s="58"/>
      <c r="K7" s="58"/>
      <c r="L7" s="58"/>
      <c r="M7" s="58"/>
      <c r="N7" s="58"/>
      <c r="O7" s="58"/>
      <c r="P7" s="58"/>
      <c r="Q7" s="58"/>
    </row>
    <row r="8" spans="1:18" ht="31.5" x14ac:dyDescent="0.25">
      <c r="A8" s="17" t="s">
        <v>725</v>
      </c>
      <c r="B8" s="17" t="s">
        <v>23</v>
      </c>
      <c r="C8" s="68">
        <v>62</v>
      </c>
      <c r="D8" s="17" t="s">
        <v>753</v>
      </c>
      <c r="E8" s="16" t="s">
        <v>371</v>
      </c>
      <c r="F8" s="18" t="s">
        <v>173</v>
      </c>
      <c r="G8" s="233">
        <f t="shared" si="0"/>
        <v>2.2000000000000002</v>
      </c>
      <c r="H8" s="233">
        <v>2.2000000000000002</v>
      </c>
      <c r="I8" s="58"/>
      <c r="J8" s="58"/>
      <c r="K8" s="58"/>
      <c r="L8" s="58"/>
      <c r="M8" s="58"/>
      <c r="N8" s="58"/>
      <c r="O8" s="58"/>
      <c r="P8" s="58"/>
      <c r="Q8" s="58"/>
    </row>
    <row r="9" spans="1:18" ht="31.5" x14ac:dyDescent="0.25">
      <c r="A9" s="17" t="s">
        <v>725</v>
      </c>
      <c r="B9" s="17" t="s">
        <v>23</v>
      </c>
      <c r="C9" s="68">
        <v>62</v>
      </c>
      <c r="D9" s="17" t="s">
        <v>753</v>
      </c>
      <c r="E9" s="16" t="s">
        <v>371</v>
      </c>
      <c r="F9" s="194" t="s">
        <v>922</v>
      </c>
      <c r="G9" s="233">
        <f t="shared" si="0"/>
        <v>2.6</v>
      </c>
      <c r="H9" s="233">
        <v>2.6</v>
      </c>
      <c r="I9" s="199"/>
      <c r="J9" s="199"/>
      <c r="K9" s="199"/>
      <c r="L9" s="199"/>
      <c r="M9" s="199"/>
      <c r="N9" s="199"/>
      <c r="O9" s="199"/>
      <c r="P9" s="199"/>
      <c r="Q9" s="199"/>
    </row>
    <row r="10" spans="1:18" s="188" customFormat="1" ht="33" customHeight="1" x14ac:dyDescent="0.25">
      <c r="B10" s="195"/>
      <c r="C10" s="179"/>
      <c r="D10" s="195"/>
      <c r="E10" s="219"/>
      <c r="F10" s="196" t="s">
        <v>328</v>
      </c>
      <c r="G10" s="41">
        <f>SUM(G4:G9)</f>
        <v>15.729999999999999</v>
      </c>
      <c r="H10" s="41">
        <f t="shared" ref="H10:Q10" si="1">SUM(H4:H9)</f>
        <v>15.729999999999999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1">
        <f t="shared" si="1"/>
        <v>0</v>
      </c>
      <c r="P10" s="41">
        <f t="shared" si="1"/>
        <v>0</v>
      </c>
      <c r="Q10" s="41">
        <f t="shared" si="1"/>
        <v>0</v>
      </c>
      <c r="R10" s="198"/>
    </row>
  </sheetData>
  <autoFilter ref="A3:Q10" xr:uid="{4A853EE3-BF0B-4D68-A9AD-BFCAFEC1665A}">
    <sortState xmlns:xlrd2="http://schemas.microsoft.com/office/spreadsheetml/2017/richdata2" ref="A4:Q8">
      <sortCondition ref="C3"/>
    </sortState>
  </autoFilter>
  <mergeCells count="1">
    <mergeCell ref="A1:G1"/>
  </mergeCells>
  <phoneticPr fontId="15" type="noConversion"/>
  <pageMargins left="0.7" right="0.7" top="0.75" bottom="0.75" header="0.3" footer="0.3"/>
  <pageSetup paperSize="5" scale="59" fitToHeight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8E96-F6E2-43D4-8707-7D229AFB3E75}">
  <sheetPr>
    <tabColor rgb="FFFF0000"/>
    <pageSetUpPr fitToPage="1"/>
  </sheetPr>
  <dimension ref="A1:R21"/>
  <sheetViews>
    <sheetView view="pageBreakPreview" zoomScale="85" zoomScaleNormal="100" zoomScaleSheetLayoutView="85" workbookViewId="0">
      <pane xSplit="5" ySplit="2" topLeftCell="F6" activePane="bottomRight" state="frozen"/>
      <selection pane="topRight"/>
      <selection pane="bottomLeft"/>
      <selection pane="bottomRight" activeCell="H12" sqref="H12"/>
    </sheetView>
  </sheetViews>
  <sheetFormatPr defaultColWidth="9.140625" defaultRowHeight="15" x14ac:dyDescent="0.25"/>
  <cols>
    <col min="1" max="1" width="9.28515625" style="28" customWidth="1"/>
    <col min="2" max="2" width="22.28515625" style="28" customWidth="1"/>
    <col min="3" max="3" width="10.42578125" style="27" bestFit="1" customWidth="1"/>
    <col min="4" max="4" width="30.85546875" style="28" customWidth="1"/>
    <col min="5" max="5" width="43.42578125" style="23" customWidth="1"/>
    <col min="6" max="6" width="37.85546875" style="23" customWidth="1"/>
    <col min="7" max="7" width="12.140625" style="26" customWidth="1"/>
    <col min="8" max="17" width="12.140625" style="22" customWidth="1"/>
    <col min="18" max="18" width="9.140625" style="22"/>
    <col min="19" max="16384" width="9.140625" style="23"/>
  </cols>
  <sheetData>
    <row r="1" spans="1:18" ht="24" customHeight="1" x14ac:dyDescent="0.25">
      <c r="A1" s="339" t="s">
        <v>989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21" customFormat="1" ht="55.5" customHeight="1" x14ac:dyDescent="0.25">
      <c r="A2" s="49" t="s">
        <v>537</v>
      </c>
      <c r="B2" s="49" t="s">
        <v>18</v>
      </c>
      <c r="C2" s="50" t="s">
        <v>17</v>
      </c>
      <c r="D2" s="50" t="s">
        <v>486</v>
      </c>
      <c r="E2" s="50" t="s">
        <v>487</v>
      </c>
      <c r="F2" s="50" t="s">
        <v>988</v>
      </c>
      <c r="G2" s="51" t="s">
        <v>836</v>
      </c>
      <c r="H2" s="51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2" t="s">
        <v>12</v>
      </c>
      <c r="R2" s="26"/>
    </row>
    <row r="3" spans="1:18" s="21" customFormat="1" ht="15.75" x14ac:dyDescent="0.25">
      <c r="A3" s="49"/>
      <c r="B3" s="49"/>
      <c r="C3" s="50"/>
      <c r="D3" s="49"/>
      <c r="E3" s="50"/>
      <c r="F3" s="50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26"/>
    </row>
    <row r="4" spans="1:18" ht="45" x14ac:dyDescent="0.25">
      <c r="A4" s="11" t="s">
        <v>555</v>
      </c>
      <c r="B4" s="11" t="s">
        <v>732</v>
      </c>
      <c r="C4" s="7">
        <v>150</v>
      </c>
      <c r="D4" s="16" t="s">
        <v>664</v>
      </c>
      <c r="E4" s="11" t="s">
        <v>673</v>
      </c>
      <c r="F4" s="11" t="s">
        <v>556</v>
      </c>
      <c r="G4" s="231">
        <f>SUM(H4:Q4)</f>
        <v>105</v>
      </c>
      <c r="H4" s="53"/>
      <c r="I4" s="58"/>
      <c r="J4" s="58">
        <f>5*7</f>
        <v>35</v>
      </c>
      <c r="K4" s="58">
        <f>6*7</f>
        <v>42</v>
      </c>
      <c r="L4" s="58">
        <v>7</v>
      </c>
      <c r="M4" s="58"/>
      <c r="N4" s="58">
        <f>3*7</f>
        <v>21</v>
      </c>
      <c r="O4" s="58"/>
      <c r="P4" s="58"/>
      <c r="Q4" s="58"/>
    </row>
    <row r="5" spans="1:18" ht="34.5" customHeight="1" x14ac:dyDescent="0.25">
      <c r="A5" s="11" t="s">
        <v>555</v>
      </c>
      <c r="B5" s="11" t="s">
        <v>732</v>
      </c>
      <c r="C5" s="7">
        <v>150</v>
      </c>
      <c r="D5" s="16" t="s">
        <v>664</v>
      </c>
      <c r="E5" s="11" t="s">
        <v>557</v>
      </c>
      <c r="F5" s="11" t="s">
        <v>558</v>
      </c>
      <c r="G5" s="231">
        <f t="shared" ref="G5:G18" si="0">SUM(H5:Q5)</f>
        <v>16.5</v>
      </c>
      <c r="H5" s="53"/>
      <c r="I5" s="58">
        <v>1</v>
      </c>
      <c r="J5" s="58">
        <v>3</v>
      </c>
      <c r="K5" s="58">
        <v>4.5</v>
      </c>
      <c r="L5" s="58">
        <v>1</v>
      </c>
      <c r="M5" s="58">
        <v>1.5</v>
      </c>
      <c r="N5" s="58">
        <v>3</v>
      </c>
      <c r="O5" s="58">
        <v>0.5</v>
      </c>
      <c r="P5" s="58">
        <v>2</v>
      </c>
      <c r="Q5" s="58">
        <v>0</v>
      </c>
    </row>
    <row r="6" spans="1:18" ht="34.5" customHeight="1" x14ac:dyDescent="0.25">
      <c r="A6" s="11" t="s">
        <v>555</v>
      </c>
      <c r="B6" s="11" t="s">
        <v>732</v>
      </c>
      <c r="C6" s="7">
        <v>150</v>
      </c>
      <c r="D6" s="16" t="s">
        <v>664</v>
      </c>
      <c r="E6" s="11" t="s">
        <v>372</v>
      </c>
      <c r="F6" s="11" t="s">
        <v>559</v>
      </c>
      <c r="G6" s="231">
        <f t="shared" si="0"/>
        <v>5.3999999999999995</v>
      </c>
      <c r="H6" s="53"/>
      <c r="I6" s="58">
        <v>0.6</v>
      </c>
      <c r="J6" s="58">
        <v>0.3</v>
      </c>
      <c r="K6" s="58">
        <v>0.9</v>
      </c>
      <c r="L6" s="58">
        <v>0.3</v>
      </c>
      <c r="M6" s="58">
        <v>0.9</v>
      </c>
      <c r="N6" s="58">
        <v>0.9</v>
      </c>
      <c r="O6" s="58">
        <v>0.3</v>
      </c>
      <c r="P6" s="58">
        <v>1.2</v>
      </c>
      <c r="Q6" s="58">
        <v>0</v>
      </c>
    </row>
    <row r="7" spans="1:18" ht="45" x14ac:dyDescent="0.25">
      <c r="A7" s="11" t="s">
        <v>555</v>
      </c>
      <c r="B7" s="11" t="s">
        <v>732</v>
      </c>
      <c r="C7" s="7">
        <v>150</v>
      </c>
      <c r="D7" s="16" t="s">
        <v>664</v>
      </c>
      <c r="E7" s="11" t="s">
        <v>674</v>
      </c>
      <c r="F7" s="11" t="s">
        <v>667</v>
      </c>
      <c r="G7" s="231">
        <f t="shared" si="0"/>
        <v>15.5</v>
      </c>
      <c r="H7" s="53">
        <v>15.5</v>
      </c>
      <c r="I7" s="58"/>
      <c r="J7" s="58"/>
      <c r="K7" s="58"/>
      <c r="L7" s="58"/>
      <c r="M7" s="58"/>
      <c r="N7" s="58"/>
      <c r="O7" s="58"/>
      <c r="P7" s="58"/>
      <c r="Q7" s="58"/>
    </row>
    <row r="8" spans="1:18" ht="45" x14ac:dyDescent="0.25">
      <c r="A8" s="11" t="s">
        <v>555</v>
      </c>
      <c r="B8" s="11" t="s">
        <v>732</v>
      </c>
      <c r="C8" s="7">
        <v>150</v>
      </c>
      <c r="D8" s="16" t="s">
        <v>664</v>
      </c>
      <c r="E8" s="11" t="s">
        <v>562</v>
      </c>
      <c r="F8" s="11" t="s">
        <v>560</v>
      </c>
      <c r="G8" s="231">
        <f t="shared" si="0"/>
        <v>8.6</v>
      </c>
      <c r="H8" s="53"/>
      <c r="I8" s="58">
        <v>0.96</v>
      </c>
      <c r="J8" s="58">
        <v>0.96</v>
      </c>
      <c r="K8" s="58">
        <v>0.96</v>
      </c>
      <c r="L8" s="58">
        <v>0.95</v>
      </c>
      <c r="M8" s="58">
        <v>0.96</v>
      </c>
      <c r="N8" s="58">
        <v>0.96</v>
      </c>
      <c r="O8" s="58">
        <v>0.95</v>
      </c>
      <c r="P8" s="58">
        <v>0.95</v>
      </c>
      <c r="Q8" s="58">
        <v>0.95</v>
      </c>
    </row>
    <row r="9" spans="1:18" ht="45" x14ac:dyDescent="0.25">
      <c r="A9" s="11" t="s">
        <v>555</v>
      </c>
      <c r="B9" s="11" t="s">
        <v>732</v>
      </c>
      <c r="C9" s="7">
        <v>150</v>
      </c>
      <c r="D9" s="16" t="s">
        <v>664</v>
      </c>
      <c r="E9" s="11" t="s">
        <v>562</v>
      </c>
      <c r="F9" s="11" t="s">
        <v>561</v>
      </c>
      <c r="G9" s="231">
        <f t="shared" si="0"/>
        <v>21</v>
      </c>
      <c r="H9" s="53"/>
      <c r="I9" s="58">
        <v>2.4500000000000002</v>
      </c>
      <c r="J9" s="58">
        <v>1.4</v>
      </c>
      <c r="K9" s="58">
        <v>3.85</v>
      </c>
      <c r="L9" s="58">
        <v>1.75</v>
      </c>
      <c r="M9" s="58">
        <v>1.75</v>
      </c>
      <c r="N9" s="58">
        <v>3.5</v>
      </c>
      <c r="O9" s="58">
        <v>2.8</v>
      </c>
      <c r="P9" s="58">
        <v>1.75</v>
      </c>
      <c r="Q9" s="58">
        <v>1.75</v>
      </c>
    </row>
    <row r="10" spans="1:18" ht="45" x14ac:dyDescent="0.25">
      <c r="A10" s="11" t="s">
        <v>555</v>
      </c>
      <c r="B10" s="11" t="s">
        <v>732</v>
      </c>
      <c r="C10" s="7">
        <v>150</v>
      </c>
      <c r="D10" s="16" t="s">
        <v>664</v>
      </c>
      <c r="E10" s="11" t="s">
        <v>562</v>
      </c>
      <c r="F10" s="11" t="s">
        <v>364</v>
      </c>
      <c r="G10" s="231">
        <f t="shared" si="0"/>
        <v>4.3</v>
      </c>
      <c r="H10" s="53"/>
      <c r="I10" s="58">
        <v>0.5</v>
      </c>
      <c r="J10" s="58">
        <v>0.5</v>
      </c>
      <c r="K10" s="58">
        <v>0.5</v>
      </c>
      <c r="L10" s="58">
        <v>0.5</v>
      </c>
      <c r="M10" s="58">
        <v>0.5</v>
      </c>
      <c r="N10" s="58">
        <v>0.5</v>
      </c>
      <c r="O10" s="58">
        <v>0.4</v>
      </c>
      <c r="P10" s="58">
        <v>0.4</v>
      </c>
      <c r="Q10" s="58">
        <v>0.5</v>
      </c>
    </row>
    <row r="11" spans="1:18" ht="45" x14ac:dyDescent="0.25">
      <c r="A11" s="11" t="s">
        <v>555</v>
      </c>
      <c r="B11" s="11" t="s">
        <v>732</v>
      </c>
      <c r="C11" s="7">
        <v>150</v>
      </c>
      <c r="D11" s="16" t="s">
        <v>664</v>
      </c>
      <c r="E11" s="11" t="s">
        <v>562</v>
      </c>
      <c r="F11" s="11" t="s">
        <v>563</v>
      </c>
      <c r="G11" s="231">
        <f t="shared" si="0"/>
        <v>50.4</v>
      </c>
      <c r="H11" s="53"/>
      <c r="I11" s="58">
        <v>5.7</v>
      </c>
      <c r="J11" s="58">
        <v>5.7</v>
      </c>
      <c r="K11" s="58">
        <v>5.4</v>
      </c>
      <c r="L11" s="58">
        <v>5.7</v>
      </c>
      <c r="M11" s="58">
        <v>5.7</v>
      </c>
      <c r="N11" s="58">
        <v>5.7</v>
      </c>
      <c r="O11" s="58">
        <v>5.4</v>
      </c>
      <c r="P11" s="58">
        <v>5.7</v>
      </c>
      <c r="Q11" s="58">
        <v>5.4</v>
      </c>
    </row>
    <row r="12" spans="1:18" ht="45" x14ac:dyDescent="0.25">
      <c r="A12" s="11" t="s">
        <v>555</v>
      </c>
      <c r="B12" s="11" t="s">
        <v>732</v>
      </c>
      <c r="C12" s="7">
        <v>150</v>
      </c>
      <c r="D12" s="16" t="s">
        <v>664</v>
      </c>
      <c r="E12" s="11" t="s">
        <v>200</v>
      </c>
      <c r="F12" s="11" t="s">
        <v>200</v>
      </c>
      <c r="G12" s="231">
        <f t="shared" si="0"/>
        <v>120.48139999999998</v>
      </c>
      <c r="H12" s="53"/>
      <c r="I12" s="43">
        <f>0.4043*45</f>
        <v>18.1935</v>
      </c>
      <c r="J12" s="43">
        <f>0.4043*34</f>
        <v>13.7462</v>
      </c>
      <c r="K12" s="43">
        <f>0.4043*45</f>
        <v>18.1935</v>
      </c>
      <c r="L12" s="43">
        <f>0.4043*21</f>
        <v>8.4902999999999995</v>
      </c>
      <c r="M12" s="43">
        <f>0.4043*25</f>
        <v>10.1075</v>
      </c>
      <c r="N12" s="43">
        <f>0.4043*57</f>
        <v>23.045099999999998</v>
      </c>
      <c r="O12" s="43">
        <f>0.4043*31</f>
        <v>12.533300000000001</v>
      </c>
      <c r="P12" s="43">
        <f>0.4043*18</f>
        <v>7.2774000000000001</v>
      </c>
      <c r="Q12" s="43">
        <f>0.4043*22</f>
        <v>8.8946000000000005</v>
      </c>
    </row>
    <row r="13" spans="1:18" ht="45" x14ac:dyDescent="0.25">
      <c r="A13" s="11" t="s">
        <v>555</v>
      </c>
      <c r="B13" s="11" t="s">
        <v>732</v>
      </c>
      <c r="C13" s="7">
        <v>150</v>
      </c>
      <c r="D13" s="16" t="s">
        <v>664</v>
      </c>
      <c r="E13" s="11" t="s">
        <v>562</v>
      </c>
      <c r="F13" s="11" t="s">
        <v>912</v>
      </c>
      <c r="G13" s="231">
        <f t="shared" si="0"/>
        <v>28.300000000000004</v>
      </c>
      <c r="H13" s="53"/>
      <c r="I13" s="58">
        <v>4.5</v>
      </c>
      <c r="J13" s="58">
        <v>2.9</v>
      </c>
      <c r="K13" s="58">
        <v>3.9</v>
      </c>
      <c r="L13" s="58">
        <v>2</v>
      </c>
      <c r="M13" s="58">
        <v>2.5</v>
      </c>
      <c r="N13" s="58">
        <v>5.4</v>
      </c>
      <c r="O13" s="58">
        <v>3.1</v>
      </c>
      <c r="P13" s="58">
        <v>1.8</v>
      </c>
      <c r="Q13" s="58">
        <v>2.2000000000000002</v>
      </c>
    </row>
    <row r="14" spans="1:18" ht="45" x14ac:dyDescent="0.25">
      <c r="A14" s="11" t="s">
        <v>555</v>
      </c>
      <c r="B14" s="11" t="s">
        <v>732</v>
      </c>
      <c r="C14" s="7">
        <v>150</v>
      </c>
      <c r="D14" s="16" t="s">
        <v>664</v>
      </c>
      <c r="E14" s="11" t="s">
        <v>562</v>
      </c>
      <c r="F14" s="11" t="s">
        <v>913</v>
      </c>
      <c r="G14" s="241">
        <f t="shared" si="0"/>
        <v>5.45</v>
      </c>
      <c r="H14" s="53">
        <v>5.45</v>
      </c>
      <c r="I14" s="58"/>
      <c r="J14" s="58"/>
      <c r="K14" s="58"/>
      <c r="L14" s="58"/>
      <c r="M14" s="58"/>
      <c r="N14" s="58"/>
      <c r="O14" s="58"/>
      <c r="P14" s="58"/>
      <c r="Q14" s="58"/>
    </row>
    <row r="15" spans="1:18" ht="45" x14ac:dyDescent="0.25">
      <c r="A15" s="11" t="s">
        <v>555</v>
      </c>
      <c r="B15" s="11" t="s">
        <v>732</v>
      </c>
      <c r="C15" s="7">
        <v>150</v>
      </c>
      <c r="D15" s="16" t="s">
        <v>664</v>
      </c>
      <c r="E15" s="11" t="s">
        <v>562</v>
      </c>
      <c r="F15" s="11" t="s">
        <v>914</v>
      </c>
      <c r="G15" s="231">
        <f t="shared" si="0"/>
        <v>14.150000000000002</v>
      </c>
      <c r="H15" s="53"/>
      <c r="I15" s="58">
        <v>2.25</v>
      </c>
      <c r="J15" s="58">
        <v>1.45</v>
      </c>
      <c r="K15" s="58">
        <v>1.95</v>
      </c>
      <c r="L15" s="58">
        <v>1</v>
      </c>
      <c r="M15" s="58">
        <v>1.25</v>
      </c>
      <c r="N15" s="58">
        <v>2.7</v>
      </c>
      <c r="O15" s="58">
        <v>1.55</v>
      </c>
      <c r="P15" s="58">
        <v>0.9</v>
      </c>
      <c r="Q15" s="58">
        <v>1.1000000000000001</v>
      </c>
    </row>
    <row r="16" spans="1:18" ht="45" x14ac:dyDescent="0.25">
      <c r="A16" s="11" t="s">
        <v>555</v>
      </c>
      <c r="B16" s="11" t="s">
        <v>732</v>
      </c>
      <c r="C16" s="7">
        <v>151</v>
      </c>
      <c r="D16" s="16" t="s">
        <v>665</v>
      </c>
      <c r="E16" s="11" t="s">
        <v>401</v>
      </c>
      <c r="F16" s="11" t="s">
        <v>401</v>
      </c>
      <c r="G16" s="231">
        <f t="shared" si="0"/>
        <v>68.599999999999994</v>
      </c>
      <c r="H16" s="53"/>
      <c r="I16" s="58">
        <v>10.4</v>
      </c>
      <c r="J16" s="58">
        <v>6.6</v>
      </c>
      <c r="K16" s="58">
        <v>10</v>
      </c>
      <c r="L16" s="58">
        <v>5</v>
      </c>
      <c r="M16" s="58">
        <v>6</v>
      </c>
      <c r="N16" s="58">
        <v>12.8</v>
      </c>
      <c r="O16" s="58">
        <v>7.8</v>
      </c>
      <c r="P16" s="58">
        <v>4.5999999999999996</v>
      </c>
      <c r="Q16" s="58">
        <v>5.4</v>
      </c>
    </row>
    <row r="17" spans="1:18" ht="45" x14ac:dyDescent="0.25">
      <c r="A17" s="11" t="s">
        <v>555</v>
      </c>
      <c r="B17" s="11" t="s">
        <v>732</v>
      </c>
      <c r="C17" s="7">
        <v>153</v>
      </c>
      <c r="D17" s="16" t="s">
        <v>666</v>
      </c>
      <c r="E17" s="11" t="s">
        <v>564</v>
      </c>
      <c r="F17" s="11" t="s">
        <v>329</v>
      </c>
      <c r="G17" s="231">
        <f t="shared" si="0"/>
        <v>18.45</v>
      </c>
      <c r="H17" s="53">
        <v>18.45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8" ht="30" x14ac:dyDescent="0.25">
      <c r="A18" s="11" t="s">
        <v>636</v>
      </c>
      <c r="B18" s="11" t="s">
        <v>637</v>
      </c>
      <c r="C18" s="7">
        <v>197</v>
      </c>
      <c r="D18" s="16" t="s">
        <v>633</v>
      </c>
      <c r="E18" s="11" t="s">
        <v>371</v>
      </c>
      <c r="F18" s="11" t="s">
        <v>633</v>
      </c>
      <c r="G18" s="231">
        <f t="shared" si="0"/>
        <v>5.2</v>
      </c>
      <c r="H18" s="53">
        <v>5.2</v>
      </c>
      <c r="I18" s="58"/>
      <c r="J18" s="58"/>
      <c r="K18" s="58"/>
      <c r="L18" s="58"/>
      <c r="M18" s="58"/>
      <c r="N18" s="58"/>
      <c r="O18" s="58"/>
      <c r="P18" s="58"/>
      <c r="Q18" s="58"/>
    </row>
    <row r="19" spans="1:18" s="32" customFormat="1" ht="34.5" customHeight="1" x14ac:dyDescent="0.25">
      <c r="A19" s="46"/>
      <c r="B19" s="46"/>
      <c r="C19" s="40"/>
      <c r="D19" s="39"/>
      <c r="E19" s="46"/>
      <c r="F19" s="46" t="s">
        <v>15</v>
      </c>
      <c r="G19" s="41">
        <f>SUM(G4:G18)</f>
        <v>487.33139999999992</v>
      </c>
      <c r="H19" s="42">
        <f t="shared" ref="H19:Q19" si="1">SUM(H4:H18)</f>
        <v>44.6</v>
      </c>
      <c r="I19" s="42">
        <f t="shared" si="1"/>
        <v>46.5535</v>
      </c>
      <c r="J19" s="42">
        <f t="shared" si="1"/>
        <v>71.55619999999999</v>
      </c>
      <c r="K19" s="42">
        <f t="shared" si="1"/>
        <v>92.153500000000008</v>
      </c>
      <c r="L19" s="42">
        <f t="shared" si="1"/>
        <v>33.690300000000001</v>
      </c>
      <c r="M19" s="42">
        <f t="shared" si="1"/>
        <v>31.167499999999997</v>
      </c>
      <c r="N19" s="42">
        <f t="shared" si="1"/>
        <v>79.505099999999999</v>
      </c>
      <c r="O19" s="42">
        <f t="shared" si="1"/>
        <v>35.333300000000001</v>
      </c>
      <c r="P19" s="42">
        <f t="shared" si="1"/>
        <v>26.577399999999997</v>
      </c>
      <c r="Q19" s="42">
        <f t="shared" si="1"/>
        <v>26.194600000000001</v>
      </c>
      <c r="R19" s="30"/>
    </row>
    <row r="20" spans="1:18" s="27" customFormat="1" x14ac:dyDescent="0.25">
      <c r="A20" s="28"/>
      <c r="B20" s="28"/>
      <c r="D20" s="28"/>
      <c r="E20" s="23"/>
      <c r="F20" s="23"/>
      <c r="G20" s="26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s="27" customFormat="1" x14ac:dyDescent="0.25">
      <c r="A21" s="28"/>
      <c r="B21" s="28"/>
      <c r="D21" s="28"/>
      <c r="E21" s="23"/>
      <c r="F21" s="23"/>
      <c r="G21" s="26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</sheetData>
  <autoFilter ref="A3:Q19" xr:uid="{C6918E96-F6E2-43D4-8707-7D229AFB3E75}">
    <sortState xmlns:xlrd2="http://schemas.microsoft.com/office/spreadsheetml/2017/richdata2" ref="A4:Q19">
      <sortCondition ref="C3:C19"/>
    </sortState>
  </autoFilter>
  <mergeCells count="1">
    <mergeCell ref="A1:G1"/>
  </mergeCells>
  <phoneticPr fontId="15" type="noConversion"/>
  <pageMargins left="0.25" right="0.25" top="0.75" bottom="0.75" header="0.3" footer="0.3"/>
  <pageSetup paperSize="5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1AA2-2E05-4B7E-A800-2CF4B0BA18CA}">
  <sheetPr filterMode="1">
    <tabColor rgb="FFFF0000"/>
    <pageSetUpPr fitToPage="1"/>
  </sheetPr>
  <dimension ref="A1:S26"/>
  <sheetViews>
    <sheetView view="pageBreakPreview" topLeftCell="C1" zoomScaleNormal="100" zoomScaleSheetLayoutView="100" workbookViewId="0">
      <selection activeCell="G4" sqref="G4:G12"/>
    </sheetView>
  </sheetViews>
  <sheetFormatPr defaultColWidth="9.140625" defaultRowHeight="15.75" x14ac:dyDescent="0.25"/>
  <cols>
    <col min="1" max="1" width="10.42578125" style="123" customWidth="1"/>
    <col min="2" max="2" width="16" style="123" customWidth="1"/>
    <col min="3" max="3" width="7.42578125" style="123" customWidth="1"/>
    <col min="4" max="4" width="25.42578125" style="124" customWidth="1"/>
    <col min="5" max="5" width="21.140625" style="124" customWidth="1"/>
    <col min="6" max="6" width="39.28515625" style="124" customWidth="1"/>
    <col min="7" max="7" width="13" style="125" bestFit="1" customWidth="1"/>
    <col min="8" max="8" width="10.85546875" style="112" bestFit="1" customWidth="1"/>
    <col min="9" max="10" width="14.140625" style="121" bestFit="1" customWidth="1"/>
    <col min="11" max="11" width="11.85546875" style="121" bestFit="1" customWidth="1"/>
    <col min="12" max="12" width="10.85546875" style="121" bestFit="1" customWidth="1"/>
    <col min="13" max="15" width="11.85546875" style="121" bestFit="1" customWidth="1"/>
    <col min="16" max="17" width="10.85546875" style="121" bestFit="1" customWidth="1"/>
    <col min="18" max="18" width="8.7109375" style="112" bestFit="1" customWidth="1"/>
    <col min="19" max="19" width="9.140625" style="112"/>
    <col min="20" max="20" width="11.85546875" style="113" bestFit="1" customWidth="1"/>
    <col min="21" max="16384" width="9.140625" style="113"/>
  </cols>
  <sheetData>
    <row r="1" spans="1:19" ht="24" customHeight="1" x14ac:dyDescent="0.25">
      <c r="A1" s="342" t="s">
        <v>852</v>
      </c>
      <c r="B1" s="342"/>
      <c r="C1" s="342"/>
      <c r="D1" s="342"/>
      <c r="E1" s="342"/>
      <c r="F1" s="342"/>
      <c r="G1" s="342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</row>
    <row r="2" spans="1:19" s="111" customFormat="1" ht="55.5" customHeight="1" x14ac:dyDescent="0.25">
      <c r="A2" s="114" t="s">
        <v>705</v>
      </c>
      <c r="B2" s="114" t="s">
        <v>18</v>
      </c>
      <c r="C2" s="114" t="s">
        <v>17</v>
      </c>
      <c r="D2" s="115" t="s">
        <v>486</v>
      </c>
      <c r="E2" s="115" t="s">
        <v>487</v>
      </c>
      <c r="F2" s="114" t="s">
        <v>988</v>
      </c>
      <c r="G2" s="116" t="s">
        <v>836</v>
      </c>
      <c r="H2" s="116" t="s">
        <v>3</v>
      </c>
      <c r="I2" s="116" t="s">
        <v>4</v>
      </c>
      <c r="J2" s="116" t="s">
        <v>5</v>
      </c>
      <c r="K2" s="116" t="s">
        <v>6</v>
      </c>
      <c r="L2" s="116" t="s">
        <v>7</v>
      </c>
      <c r="M2" s="116" t="s">
        <v>8</v>
      </c>
      <c r="N2" s="116" t="s">
        <v>9</v>
      </c>
      <c r="O2" s="116" t="s">
        <v>10</v>
      </c>
      <c r="P2" s="116" t="s">
        <v>11</v>
      </c>
      <c r="Q2" s="116" t="s">
        <v>12</v>
      </c>
      <c r="R2" s="117"/>
      <c r="S2" s="117"/>
    </row>
    <row r="3" spans="1:19" s="111" customFormat="1" x14ac:dyDescent="0.25">
      <c r="A3" s="114"/>
      <c r="B3" s="114"/>
      <c r="C3" s="114"/>
      <c r="D3" s="115"/>
      <c r="E3" s="115"/>
      <c r="F3" s="115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  <c r="S3" s="117"/>
    </row>
    <row r="4" spans="1:19" s="111" customFormat="1" ht="47.25" x14ac:dyDescent="0.25">
      <c r="A4" s="118" t="s">
        <v>755</v>
      </c>
      <c r="B4" s="118" t="s">
        <v>639</v>
      </c>
      <c r="C4" s="118">
        <v>159</v>
      </c>
      <c r="D4" s="119" t="s">
        <v>754</v>
      </c>
      <c r="E4" s="119" t="s">
        <v>398</v>
      </c>
      <c r="F4" s="119" t="s">
        <v>602</v>
      </c>
      <c r="G4" s="182">
        <f t="shared" ref="G4:G23" si="0">SUM(H4:Q4)</f>
        <v>240.96</v>
      </c>
      <c r="H4" s="120"/>
      <c r="I4" s="120">
        <v>31.68</v>
      </c>
      <c r="J4" s="120">
        <v>18.96</v>
      </c>
      <c r="K4" s="120">
        <v>29.76</v>
      </c>
      <c r="L4" s="120">
        <v>20.88</v>
      </c>
      <c r="M4" s="120">
        <v>40.08</v>
      </c>
      <c r="N4" s="120">
        <v>45.84</v>
      </c>
      <c r="O4" s="120">
        <v>19.68</v>
      </c>
      <c r="P4" s="120">
        <v>18.48</v>
      </c>
      <c r="Q4" s="120">
        <v>15.6</v>
      </c>
      <c r="S4" s="117"/>
    </row>
    <row r="5" spans="1:19" ht="47.25" x14ac:dyDescent="0.25">
      <c r="A5" s="118" t="s">
        <v>755</v>
      </c>
      <c r="B5" s="118" t="s">
        <v>639</v>
      </c>
      <c r="C5" s="118">
        <v>159</v>
      </c>
      <c r="D5" s="119" t="s">
        <v>754</v>
      </c>
      <c r="E5" s="119" t="s">
        <v>398</v>
      </c>
      <c r="F5" s="119" t="s">
        <v>358</v>
      </c>
      <c r="G5" s="182">
        <f t="shared" si="0"/>
        <v>4.0855200000000007</v>
      </c>
      <c r="H5" s="120"/>
      <c r="I5" s="120">
        <v>0.60755999999999999</v>
      </c>
      <c r="J5" s="120">
        <v>0.32403999999999999</v>
      </c>
      <c r="K5" s="120">
        <v>0.49552000000000002</v>
      </c>
      <c r="L5" s="120">
        <v>0.28120000000000001</v>
      </c>
      <c r="M5" s="120">
        <v>0.76907999999999999</v>
      </c>
      <c r="N5" s="120">
        <v>0.80820000000000003</v>
      </c>
      <c r="O5" s="120">
        <v>0.32400000000000001</v>
      </c>
      <c r="P5" s="120">
        <v>0.28276000000000001</v>
      </c>
      <c r="Q5" s="120">
        <v>0.19316</v>
      </c>
    </row>
    <row r="6" spans="1:19" ht="63" x14ac:dyDescent="0.25">
      <c r="A6" s="118" t="s">
        <v>755</v>
      </c>
      <c r="B6" s="118" t="s">
        <v>639</v>
      </c>
      <c r="C6" s="118">
        <v>159</v>
      </c>
      <c r="D6" s="119" t="s">
        <v>754</v>
      </c>
      <c r="E6" s="119" t="s">
        <v>464</v>
      </c>
      <c r="F6" s="119" t="s">
        <v>271</v>
      </c>
      <c r="G6" s="182">
        <f t="shared" si="0"/>
        <v>104.51999999999998</v>
      </c>
      <c r="H6" s="120">
        <v>3.12</v>
      </c>
      <c r="I6" s="120">
        <v>11.64</v>
      </c>
      <c r="J6" s="120">
        <v>9.1199999999999992</v>
      </c>
      <c r="K6" s="120">
        <v>12.48</v>
      </c>
      <c r="L6" s="120">
        <v>9.9600000000000009</v>
      </c>
      <c r="M6" s="120">
        <v>15.84</v>
      </c>
      <c r="N6" s="120">
        <v>18.36</v>
      </c>
      <c r="O6" s="120">
        <v>10.8</v>
      </c>
      <c r="P6" s="120">
        <v>6.6</v>
      </c>
      <c r="Q6" s="120">
        <v>6.6</v>
      </c>
    </row>
    <row r="7" spans="1:19" ht="47.25" x14ac:dyDescent="0.25">
      <c r="A7" s="118" t="s">
        <v>755</v>
      </c>
      <c r="B7" s="118" t="s">
        <v>639</v>
      </c>
      <c r="C7" s="118">
        <v>159</v>
      </c>
      <c r="D7" s="119" t="s">
        <v>754</v>
      </c>
      <c r="E7" s="119" t="s">
        <v>371</v>
      </c>
      <c r="F7" s="119" t="s">
        <v>605</v>
      </c>
      <c r="G7" s="182">
        <f t="shared" si="0"/>
        <v>0.78800000000000003</v>
      </c>
      <c r="H7" s="120">
        <v>0.78800000000000003</v>
      </c>
      <c r="I7" s="120"/>
      <c r="J7" s="120"/>
      <c r="K7" s="120"/>
      <c r="L7" s="120"/>
      <c r="M7" s="120"/>
      <c r="N7" s="120"/>
      <c r="O7" s="120"/>
      <c r="P7" s="120"/>
      <c r="Q7" s="120"/>
    </row>
    <row r="8" spans="1:19" ht="47.25" x14ac:dyDescent="0.25">
      <c r="A8" s="118" t="s">
        <v>755</v>
      </c>
      <c r="B8" s="118" t="s">
        <v>639</v>
      </c>
      <c r="C8" s="118">
        <v>159</v>
      </c>
      <c r="D8" s="119" t="s">
        <v>754</v>
      </c>
      <c r="E8" s="119" t="s">
        <v>400</v>
      </c>
      <c r="F8" s="119" t="s">
        <v>606</v>
      </c>
      <c r="G8" s="182">
        <f t="shared" si="0"/>
        <v>0.32</v>
      </c>
      <c r="H8" s="120">
        <v>0.32</v>
      </c>
      <c r="I8" s="120"/>
      <c r="J8" s="120"/>
      <c r="K8" s="120"/>
      <c r="L8" s="120"/>
      <c r="M8" s="120"/>
      <c r="N8" s="120"/>
      <c r="P8" s="120"/>
      <c r="Q8" s="120"/>
    </row>
    <row r="9" spans="1:19" ht="47.25" x14ac:dyDescent="0.25">
      <c r="A9" s="118" t="s">
        <v>755</v>
      </c>
      <c r="B9" s="118" t="s">
        <v>639</v>
      </c>
      <c r="C9" s="118">
        <v>159</v>
      </c>
      <c r="D9" s="119" t="s">
        <v>754</v>
      </c>
      <c r="E9" s="119" t="s">
        <v>372</v>
      </c>
      <c r="F9" s="119" t="s">
        <v>640</v>
      </c>
      <c r="G9" s="182">
        <f t="shared" si="0"/>
        <v>7.5</v>
      </c>
      <c r="H9" s="120">
        <v>7.5</v>
      </c>
      <c r="I9" s="120"/>
      <c r="J9" s="120"/>
      <c r="K9" s="120"/>
      <c r="L9" s="120"/>
      <c r="M9" s="120"/>
      <c r="N9" s="120"/>
      <c r="O9" s="120"/>
      <c r="P9" s="120"/>
      <c r="Q9" s="120"/>
    </row>
    <row r="10" spans="1:19" ht="47.25" x14ac:dyDescent="0.25">
      <c r="A10" s="118" t="s">
        <v>755</v>
      </c>
      <c r="B10" s="118" t="s">
        <v>639</v>
      </c>
      <c r="C10" s="118">
        <v>159</v>
      </c>
      <c r="D10" s="119" t="s">
        <v>754</v>
      </c>
      <c r="E10" s="119" t="s">
        <v>464</v>
      </c>
      <c r="F10" s="119" t="s">
        <v>272</v>
      </c>
      <c r="G10" s="182">
        <f t="shared" si="0"/>
        <v>9.2568000000000019</v>
      </c>
      <c r="H10" s="120"/>
      <c r="I10" s="120">
        <v>1.1843999999999999</v>
      </c>
      <c r="J10" s="120">
        <v>0.73080000000000001</v>
      </c>
      <c r="K10" s="120">
        <v>1.1508</v>
      </c>
      <c r="L10" s="120">
        <v>0.82320000000000004</v>
      </c>
      <c r="M10" s="120">
        <v>1.5456000000000001</v>
      </c>
      <c r="N10" s="120">
        <v>1.722</v>
      </c>
      <c r="O10" s="120">
        <v>0.78959999999999997</v>
      </c>
      <c r="P10" s="120">
        <v>0.7056</v>
      </c>
      <c r="Q10" s="120">
        <v>0.6048</v>
      </c>
    </row>
    <row r="11" spans="1:19" ht="47.25" x14ac:dyDescent="0.25">
      <c r="A11" s="118" t="s">
        <v>755</v>
      </c>
      <c r="B11" s="118" t="s">
        <v>639</v>
      </c>
      <c r="C11" s="118">
        <v>159</v>
      </c>
      <c r="D11" s="119" t="s">
        <v>754</v>
      </c>
      <c r="E11" s="119" t="s">
        <v>401</v>
      </c>
      <c r="F11" s="119" t="s">
        <v>273</v>
      </c>
      <c r="G11" s="182">
        <f t="shared" si="0"/>
        <v>2.29</v>
      </c>
      <c r="H11" s="120">
        <v>2.29</v>
      </c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ht="47.25" x14ac:dyDescent="0.25">
      <c r="A12" s="118" t="s">
        <v>755</v>
      </c>
      <c r="B12" s="118" t="s">
        <v>639</v>
      </c>
      <c r="C12" s="118">
        <v>159</v>
      </c>
      <c r="D12" s="119" t="s">
        <v>754</v>
      </c>
      <c r="E12" s="119" t="s">
        <v>401</v>
      </c>
      <c r="F12" s="119" t="s">
        <v>274</v>
      </c>
      <c r="G12" s="182">
        <f t="shared" si="0"/>
        <v>2.29</v>
      </c>
      <c r="H12" s="120">
        <v>2.29</v>
      </c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ht="47.25" hidden="1" x14ac:dyDescent="0.25">
      <c r="A13" s="118" t="s">
        <v>755</v>
      </c>
      <c r="B13" s="118" t="s">
        <v>639</v>
      </c>
      <c r="C13" s="118">
        <v>161</v>
      </c>
      <c r="D13" s="119" t="s">
        <v>641</v>
      </c>
      <c r="E13" s="119" t="s">
        <v>371</v>
      </c>
      <c r="F13" s="119" t="s">
        <v>278</v>
      </c>
      <c r="G13" s="182">
        <f t="shared" si="0"/>
        <v>106.75</v>
      </c>
      <c r="H13" s="120"/>
      <c r="I13" s="120">
        <v>10.5</v>
      </c>
      <c r="J13" s="120">
        <v>5.25</v>
      </c>
      <c r="K13" s="120">
        <v>19.25</v>
      </c>
      <c r="L13" s="120">
        <v>8.75</v>
      </c>
      <c r="M13" s="120">
        <v>10.5</v>
      </c>
      <c r="N13" s="120">
        <v>19.25</v>
      </c>
      <c r="O13" s="120">
        <v>17.5</v>
      </c>
      <c r="P13" s="120">
        <v>7</v>
      </c>
      <c r="Q13" s="120">
        <v>8.75</v>
      </c>
    </row>
    <row r="14" spans="1:19" ht="47.25" hidden="1" x14ac:dyDescent="0.25">
      <c r="A14" s="118" t="s">
        <v>755</v>
      </c>
      <c r="B14" s="118" t="s">
        <v>639</v>
      </c>
      <c r="C14" s="118">
        <v>161</v>
      </c>
      <c r="D14" s="119" t="s">
        <v>641</v>
      </c>
      <c r="E14" s="119" t="s">
        <v>371</v>
      </c>
      <c r="F14" s="119" t="s">
        <v>30</v>
      </c>
      <c r="G14" s="182">
        <f t="shared" si="0"/>
        <v>169.5</v>
      </c>
      <c r="H14" s="120"/>
      <c r="I14" s="120">
        <v>26.5</v>
      </c>
      <c r="J14" s="120">
        <v>18.5</v>
      </c>
      <c r="K14" s="120">
        <v>25</v>
      </c>
      <c r="L14" s="120">
        <v>10.5</v>
      </c>
      <c r="M14" s="120">
        <v>17.5</v>
      </c>
      <c r="N14" s="120">
        <v>32.5</v>
      </c>
      <c r="O14" s="120">
        <v>15.5</v>
      </c>
      <c r="P14" s="120">
        <v>12</v>
      </c>
      <c r="Q14" s="120">
        <v>11.5</v>
      </c>
    </row>
    <row r="15" spans="1:19" ht="47.25" hidden="1" x14ac:dyDescent="0.25">
      <c r="A15" s="118" t="s">
        <v>755</v>
      </c>
      <c r="B15" s="118" t="s">
        <v>639</v>
      </c>
      <c r="C15" s="118">
        <v>162</v>
      </c>
      <c r="D15" s="122" t="s">
        <v>477</v>
      </c>
      <c r="E15" s="119" t="s">
        <v>371</v>
      </c>
      <c r="F15" s="119" t="s">
        <v>275</v>
      </c>
      <c r="G15" s="182">
        <f t="shared" si="0"/>
        <v>120</v>
      </c>
      <c r="H15" s="120"/>
      <c r="I15" s="120">
        <v>20</v>
      </c>
      <c r="J15" s="120">
        <v>10</v>
      </c>
      <c r="K15" s="120">
        <v>20</v>
      </c>
      <c r="L15" s="120">
        <v>10</v>
      </c>
      <c r="M15" s="120">
        <v>10</v>
      </c>
      <c r="N15" s="120">
        <v>20</v>
      </c>
      <c r="O15" s="120">
        <v>10</v>
      </c>
      <c r="P15" s="120">
        <v>10</v>
      </c>
      <c r="Q15" s="120">
        <v>10</v>
      </c>
    </row>
    <row r="16" spans="1:19" ht="47.25" hidden="1" x14ac:dyDescent="0.25">
      <c r="A16" s="118" t="s">
        <v>755</v>
      </c>
      <c r="B16" s="118" t="s">
        <v>639</v>
      </c>
      <c r="C16" s="118">
        <v>162</v>
      </c>
      <c r="D16" s="122" t="s">
        <v>477</v>
      </c>
      <c r="E16" s="119" t="s">
        <v>371</v>
      </c>
      <c r="F16" s="119" t="s">
        <v>276</v>
      </c>
      <c r="G16" s="182">
        <f t="shared" si="0"/>
        <v>4</v>
      </c>
      <c r="H16" s="120"/>
      <c r="I16" s="120"/>
      <c r="J16" s="120">
        <v>2</v>
      </c>
      <c r="K16" s="120"/>
      <c r="L16" s="120"/>
      <c r="M16" s="120"/>
      <c r="N16" s="120">
        <v>2</v>
      </c>
      <c r="O16" s="120"/>
      <c r="P16" s="120"/>
      <c r="Q16" s="120"/>
    </row>
    <row r="17" spans="1:17" ht="47.25" hidden="1" x14ac:dyDescent="0.25">
      <c r="A17" s="118" t="s">
        <v>755</v>
      </c>
      <c r="B17" s="118" t="s">
        <v>639</v>
      </c>
      <c r="C17" s="118">
        <v>162</v>
      </c>
      <c r="D17" s="122" t="s">
        <v>477</v>
      </c>
      <c r="E17" s="119" t="s">
        <v>371</v>
      </c>
      <c r="F17" s="119" t="s">
        <v>277</v>
      </c>
      <c r="G17" s="182">
        <f t="shared" si="0"/>
        <v>45</v>
      </c>
      <c r="H17" s="120"/>
      <c r="I17" s="120">
        <v>10</v>
      </c>
      <c r="J17" s="120">
        <v>5</v>
      </c>
      <c r="K17" s="120">
        <v>10</v>
      </c>
      <c r="L17" s="120">
        <v>5</v>
      </c>
      <c r="M17" s="120">
        <v>5</v>
      </c>
      <c r="N17" s="120"/>
      <c r="O17" s="120">
        <v>5</v>
      </c>
      <c r="P17" s="120">
        <v>5</v>
      </c>
      <c r="Q17" s="120"/>
    </row>
    <row r="18" spans="1:17" ht="47.25" hidden="1" x14ac:dyDescent="0.25">
      <c r="A18" s="118" t="s">
        <v>755</v>
      </c>
      <c r="B18" s="118" t="s">
        <v>639</v>
      </c>
      <c r="C18" s="118">
        <v>163</v>
      </c>
      <c r="D18" s="119" t="s">
        <v>604</v>
      </c>
      <c r="E18" s="119" t="s">
        <v>400</v>
      </c>
      <c r="F18" s="119" t="s">
        <v>359</v>
      </c>
      <c r="G18" s="182">
        <f t="shared" si="0"/>
        <v>32.97</v>
      </c>
      <c r="H18" s="120"/>
      <c r="I18" s="120">
        <v>7.74</v>
      </c>
      <c r="J18" s="120">
        <v>3.96</v>
      </c>
      <c r="K18" s="120">
        <v>2.5</v>
      </c>
      <c r="L18" s="120">
        <v>3.46</v>
      </c>
      <c r="M18" s="120">
        <v>2.21</v>
      </c>
      <c r="N18" s="120">
        <v>3.8</v>
      </c>
      <c r="O18" s="120">
        <v>5</v>
      </c>
      <c r="P18" s="120">
        <v>2.2999999999999998</v>
      </c>
      <c r="Q18" s="120">
        <v>2</v>
      </c>
    </row>
    <row r="19" spans="1:17" ht="47.25" hidden="1" x14ac:dyDescent="0.25">
      <c r="A19" s="118" t="s">
        <v>755</v>
      </c>
      <c r="B19" s="118" t="s">
        <v>639</v>
      </c>
      <c r="C19" s="118">
        <v>163</v>
      </c>
      <c r="D19" s="119" t="s">
        <v>754</v>
      </c>
      <c r="E19" s="119" t="s">
        <v>400</v>
      </c>
      <c r="F19" s="119" t="s">
        <v>269</v>
      </c>
      <c r="G19" s="182">
        <f t="shared" si="0"/>
        <v>6.3</v>
      </c>
      <c r="H19" s="120">
        <v>6.3</v>
      </c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ht="47.25" hidden="1" x14ac:dyDescent="0.25">
      <c r="A20" s="118" t="s">
        <v>755</v>
      </c>
      <c r="B20" s="118" t="s">
        <v>639</v>
      </c>
      <c r="C20" s="118">
        <v>163</v>
      </c>
      <c r="D20" s="119" t="s">
        <v>604</v>
      </c>
      <c r="E20" s="119" t="s">
        <v>400</v>
      </c>
      <c r="F20" s="119" t="s">
        <v>270</v>
      </c>
      <c r="G20" s="182">
        <f t="shared" si="0"/>
        <v>5.99</v>
      </c>
      <c r="H20" s="120">
        <v>5.99</v>
      </c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 ht="47.25" hidden="1" x14ac:dyDescent="0.25">
      <c r="A21" s="118" t="s">
        <v>756</v>
      </c>
      <c r="B21" s="118" t="s">
        <v>767</v>
      </c>
      <c r="C21" s="118">
        <v>199</v>
      </c>
      <c r="D21" s="119" t="s">
        <v>475</v>
      </c>
      <c r="E21" s="119" t="s">
        <v>371</v>
      </c>
      <c r="F21" s="119" t="s">
        <v>280</v>
      </c>
      <c r="G21" s="116">
        <f t="shared" si="0"/>
        <v>87.3</v>
      </c>
      <c r="H21" s="120"/>
      <c r="I21" s="120">
        <v>12.3</v>
      </c>
      <c r="J21" s="120">
        <v>6.5</v>
      </c>
      <c r="K21" s="120">
        <v>11.2</v>
      </c>
      <c r="L21" s="120">
        <v>5.4</v>
      </c>
      <c r="M21" s="120">
        <v>16.600000000000001</v>
      </c>
      <c r="N21" s="120">
        <v>13.8</v>
      </c>
      <c r="O21" s="120">
        <v>8.3000000000000007</v>
      </c>
      <c r="P21" s="120">
        <v>8.1999999999999993</v>
      </c>
      <c r="Q21" s="120">
        <v>5</v>
      </c>
    </row>
    <row r="22" spans="1:17" ht="47.25" hidden="1" x14ac:dyDescent="0.25">
      <c r="A22" s="118" t="s">
        <v>756</v>
      </c>
      <c r="B22" s="118" t="s">
        <v>767</v>
      </c>
      <c r="C22" s="118">
        <v>199</v>
      </c>
      <c r="D22" s="119" t="s">
        <v>475</v>
      </c>
      <c r="E22" s="119" t="s">
        <v>371</v>
      </c>
      <c r="F22" s="119" t="s">
        <v>279</v>
      </c>
      <c r="G22" s="116">
        <f t="shared" si="0"/>
        <v>11.799999999999999</v>
      </c>
      <c r="H22" s="120"/>
      <c r="I22" s="120">
        <v>1</v>
      </c>
      <c r="J22" s="120">
        <v>0.6</v>
      </c>
      <c r="K22" s="120">
        <v>2.2000000000000002</v>
      </c>
      <c r="L22" s="120">
        <v>1.4</v>
      </c>
      <c r="M22" s="120">
        <v>1</v>
      </c>
      <c r="N22" s="120">
        <v>2</v>
      </c>
      <c r="O22" s="120">
        <v>1.6</v>
      </c>
      <c r="P22" s="120">
        <v>0.8</v>
      </c>
      <c r="Q22" s="120">
        <v>1.2</v>
      </c>
    </row>
    <row r="23" spans="1:17" ht="47.25" hidden="1" x14ac:dyDescent="0.25">
      <c r="A23" s="118" t="s">
        <v>756</v>
      </c>
      <c r="B23" s="118" t="s">
        <v>767</v>
      </c>
      <c r="C23" s="118">
        <v>199</v>
      </c>
      <c r="D23" s="119" t="s">
        <v>475</v>
      </c>
      <c r="E23" s="119" t="s">
        <v>371</v>
      </c>
      <c r="F23" s="119" t="s">
        <v>281</v>
      </c>
      <c r="G23" s="116">
        <f t="shared" si="0"/>
        <v>8.6</v>
      </c>
      <c r="H23" s="120"/>
      <c r="I23" s="120">
        <v>1.1000000000000001</v>
      </c>
      <c r="J23" s="120">
        <v>0.8</v>
      </c>
      <c r="K23" s="120">
        <v>1.7</v>
      </c>
      <c r="L23" s="120">
        <v>0</v>
      </c>
      <c r="M23" s="120">
        <v>1.3</v>
      </c>
      <c r="N23" s="120">
        <v>1.6</v>
      </c>
      <c r="O23" s="120">
        <v>0.5</v>
      </c>
      <c r="P23" s="120">
        <v>1.4</v>
      </c>
      <c r="Q23" s="120">
        <v>0.2</v>
      </c>
    </row>
    <row r="24" spans="1:17" ht="34.5" hidden="1" customHeight="1" x14ac:dyDescent="0.25">
      <c r="A24" s="118"/>
      <c r="B24" s="118"/>
      <c r="C24" s="118"/>
      <c r="D24" s="119"/>
      <c r="E24" s="119"/>
      <c r="F24" s="115" t="s">
        <v>20</v>
      </c>
      <c r="G24" s="116">
        <f t="shared" ref="G24:Q24" si="1">SUM(G4:G23)</f>
        <v>970.22032000000002</v>
      </c>
      <c r="H24" s="116">
        <f t="shared" si="1"/>
        <v>28.597999999999999</v>
      </c>
      <c r="I24" s="116">
        <f t="shared" si="1"/>
        <v>134.25196</v>
      </c>
      <c r="J24" s="116">
        <f t="shared" si="1"/>
        <v>81.744839999999982</v>
      </c>
      <c r="K24" s="116">
        <f t="shared" si="1"/>
        <v>135.73631999999998</v>
      </c>
      <c r="L24" s="116">
        <f t="shared" si="1"/>
        <v>76.454400000000007</v>
      </c>
      <c r="M24" s="116">
        <f t="shared" si="1"/>
        <v>122.34468</v>
      </c>
      <c r="N24" s="116">
        <f t="shared" si="1"/>
        <v>161.68020000000001</v>
      </c>
      <c r="O24" s="116">
        <f t="shared" si="1"/>
        <v>94.993600000000001</v>
      </c>
      <c r="P24" s="116">
        <f t="shared" si="1"/>
        <v>72.768360000000001</v>
      </c>
      <c r="Q24" s="116">
        <f t="shared" si="1"/>
        <v>61.647960000000012</v>
      </c>
    </row>
    <row r="25" spans="1:17" hidden="1" x14ac:dyDescent="0.25"/>
    <row r="26" spans="1:17" hidden="1" x14ac:dyDescent="0.25">
      <c r="H26" s="125"/>
      <c r="I26" s="125"/>
      <c r="J26" s="125"/>
      <c r="K26" s="125"/>
      <c r="L26" s="125"/>
      <c r="M26" s="125"/>
      <c r="N26" s="125"/>
      <c r="O26" s="125"/>
      <c r="P26" s="125"/>
      <c r="Q26" s="125"/>
    </row>
  </sheetData>
  <autoFilter ref="A3:Q26" xr:uid="{00000000-0009-0000-0000-00000B000000}">
    <filterColumn colId="2">
      <filters>
        <filter val="159"/>
      </filters>
    </filterColumn>
    <sortState xmlns:xlrd2="http://schemas.microsoft.com/office/spreadsheetml/2017/richdata2" ref="A4:Q24">
      <sortCondition ref="C3:C24"/>
    </sortState>
  </autoFilter>
  <mergeCells count="1">
    <mergeCell ref="A1:G1"/>
  </mergeCells>
  <pageMargins left="0.7" right="0.7" top="0.75" bottom="0.75" header="0.3" footer="0.3"/>
  <pageSetup paperSize="5" scale="63" fitToHeight="2" orientation="landscape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2131-0471-41C8-BF26-8BC87E99B63A}">
  <sheetPr>
    <tabColor rgb="FFFF0000"/>
    <pageSetUpPr fitToPage="1"/>
  </sheetPr>
  <dimension ref="A1:S7"/>
  <sheetViews>
    <sheetView view="pageBreakPreview" zoomScaleSheetLayoutView="100" workbookViewId="0">
      <selection activeCell="L4" sqref="L4"/>
    </sheetView>
  </sheetViews>
  <sheetFormatPr defaultColWidth="9.140625" defaultRowHeight="15" x14ac:dyDescent="0.25"/>
  <cols>
    <col min="1" max="1" width="9" style="28" bestFit="1" customWidth="1"/>
    <col min="2" max="2" width="11.42578125" style="28" customWidth="1"/>
    <col min="3" max="3" width="9" style="28" customWidth="1"/>
    <col min="4" max="4" width="22.28515625" style="28" customWidth="1"/>
    <col min="5" max="5" width="24.28515625" style="28" customWidth="1"/>
    <col min="6" max="6" width="30.28515625" style="23" customWidth="1"/>
    <col min="7" max="7" width="12.140625" style="26" customWidth="1"/>
    <col min="8" max="17" width="12.140625" style="33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853</v>
      </c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990</v>
      </c>
      <c r="G2" s="38" t="s">
        <v>793</v>
      </c>
      <c r="H2" s="38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47.25" customHeight="1" x14ac:dyDescent="0.25">
      <c r="A3" s="11" t="s">
        <v>757</v>
      </c>
      <c r="B3" s="11" t="s">
        <v>758</v>
      </c>
      <c r="C3" s="11">
        <v>194</v>
      </c>
      <c r="D3" s="11" t="s">
        <v>544</v>
      </c>
      <c r="E3" s="55" t="s">
        <v>564</v>
      </c>
      <c r="F3" s="57" t="s">
        <v>545</v>
      </c>
      <c r="G3" s="231">
        <f>SUM(H3:Q3)</f>
        <v>3.67</v>
      </c>
      <c r="H3" s="156">
        <v>3.67</v>
      </c>
      <c r="I3" s="156"/>
      <c r="J3" s="156"/>
      <c r="K3" s="156"/>
      <c r="L3" s="156"/>
      <c r="M3" s="156"/>
      <c r="N3" s="156"/>
      <c r="O3" s="156"/>
      <c r="P3" s="156"/>
      <c r="Q3" s="156"/>
    </row>
    <row r="4" spans="1:19" ht="47.25" customHeight="1" x14ac:dyDescent="0.25">
      <c r="A4" s="11" t="s">
        <v>723</v>
      </c>
      <c r="B4" s="11" t="s">
        <v>543</v>
      </c>
      <c r="C4" s="11">
        <v>194</v>
      </c>
      <c r="D4" s="11" t="s">
        <v>544</v>
      </c>
      <c r="E4" s="55" t="s">
        <v>464</v>
      </c>
      <c r="F4" s="56" t="s">
        <v>546</v>
      </c>
      <c r="G4" s="231">
        <f t="shared" ref="G4:G5" si="0">SUM(H4:Q4)</f>
        <v>2.2599999999999998</v>
      </c>
      <c r="H4" s="156">
        <v>2.2599999999999998</v>
      </c>
      <c r="I4" s="156"/>
      <c r="J4" s="156"/>
      <c r="K4" s="156"/>
      <c r="L4" s="156"/>
      <c r="M4" s="156"/>
      <c r="N4" s="156"/>
      <c r="O4" s="156"/>
      <c r="P4" s="156"/>
      <c r="Q4" s="156"/>
    </row>
    <row r="5" spans="1:19" ht="47.25" customHeight="1" x14ac:dyDescent="0.25">
      <c r="A5" s="11" t="s">
        <v>723</v>
      </c>
      <c r="B5" s="11" t="s">
        <v>543</v>
      </c>
      <c r="C5" s="11">
        <v>194</v>
      </c>
      <c r="D5" s="11" t="s">
        <v>544</v>
      </c>
      <c r="E5" s="55" t="s">
        <v>464</v>
      </c>
      <c r="F5" s="56" t="s">
        <v>547</v>
      </c>
      <c r="G5" s="231">
        <f t="shared" si="0"/>
        <v>3.5700000000000003</v>
      </c>
      <c r="H5" s="156"/>
      <c r="I5" s="156"/>
      <c r="J5" s="156">
        <v>0.64</v>
      </c>
      <c r="K5" s="156">
        <v>0.37</v>
      </c>
      <c r="L5" s="156">
        <v>0.37</v>
      </c>
      <c r="M5" s="156">
        <v>0.37</v>
      </c>
      <c r="N5" s="156">
        <v>0.71</v>
      </c>
      <c r="O5" s="156">
        <v>0.37</v>
      </c>
      <c r="P5" s="156">
        <v>0.37</v>
      </c>
      <c r="Q5" s="156">
        <v>0.37</v>
      </c>
    </row>
    <row r="6" spans="1:19" s="32" customFormat="1" ht="30" customHeight="1" x14ac:dyDescent="0.25">
      <c r="A6" s="343"/>
      <c r="B6" s="343"/>
      <c r="C6" s="343"/>
      <c r="D6" s="343"/>
      <c r="E6" s="343"/>
      <c r="F6" s="343"/>
      <c r="G6" s="29">
        <f>SUM(G3:G5)</f>
        <v>9.5</v>
      </c>
      <c r="H6" s="29">
        <f t="shared" ref="H6:Q6" si="1">SUM(H3:H5)</f>
        <v>5.93</v>
      </c>
      <c r="I6" s="29">
        <f t="shared" si="1"/>
        <v>0</v>
      </c>
      <c r="J6" s="29">
        <f t="shared" si="1"/>
        <v>0.64</v>
      </c>
      <c r="K6" s="29">
        <f t="shared" si="1"/>
        <v>0.37</v>
      </c>
      <c r="L6" s="29">
        <f t="shared" si="1"/>
        <v>0.37</v>
      </c>
      <c r="M6" s="29">
        <f t="shared" si="1"/>
        <v>0.37</v>
      </c>
      <c r="N6" s="29">
        <f t="shared" si="1"/>
        <v>0.71</v>
      </c>
      <c r="O6" s="29">
        <f t="shared" si="1"/>
        <v>0.37</v>
      </c>
      <c r="P6" s="29">
        <f t="shared" si="1"/>
        <v>0.37</v>
      </c>
      <c r="Q6" s="29">
        <f t="shared" si="1"/>
        <v>0.37</v>
      </c>
      <c r="R6" s="22"/>
      <c r="S6" s="12"/>
    </row>
    <row r="7" spans="1:19" s="27" customFormat="1" x14ac:dyDescent="0.25">
      <c r="A7" s="28"/>
      <c r="B7" s="28"/>
      <c r="C7" s="28"/>
      <c r="D7" s="28"/>
      <c r="E7" s="28"/>
      <c r="F7" s="23"/>
      <c r="G7" s="26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</sheetData>
  <mergeCells count="2">
    <mergeCell ref="A1:G1"/>
    <mergeCell ref="A6:F6"/>
  </mergeCells>
  <pageMargins left="0.7" right="0.7" top="0.75" bottom="0.75" header="0.3" footer="0.3"/>
  <pageSetup paperSize="5" scale="66" fitToHeight="3" orientation="landscape" horizont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D819-D198-4D9A-A785-50B139E6CA30}">
  <sheetPr>
    <tabColor rgb="FFFF0000"/>
    <pageSetUpPr fitToPage="1"/>
  </sheetPr>
  <dimension ref="A1:S5"/>
  <sheetViews>
    <sheetView view="pageBreakPreview" zoomScaleSheetLayoutView="100" workbookViewId="0">
      <selection activeCell="H4" sqref="H4"/>
    </sheetView>
  </sheetViews>
  <sheetFormatPr defaultColWidth="9.140625" defaultRowHeight="15" x14ac:dyDescent="0.25"/>
  <cols>
    <col min="1" max="1" width="9" style="28" bestFit="1" customWidth="1"/>
    <col min="2" max="2" width="11.42578125" style="28" customWidth="1"/>
    <col min="3" max="3" width="9" style="28" customWidth="1"/>
    <col min="4" max="4" width="22.28515625" style="28" customWidth="1"/>
    <col min="5" max="5" width="24.28515625" style="28" customWidth="1"/>
    <col min="6" max="6" width="30.28515625" style="23" customWidth="1"/>
    <col min="7" max="7" width="12.140625" style="26" customWidth="1"/>
    <col min="8" max="17" width="12.140625" style="33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947</v>
      </c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793</v>
      </c>
      <c r="H2" s="38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47.25" customHeight="1" x14ac:dyDescent="0.25">
      <c r="A3" s="11" t="s">
        <v>757</v>
      </c>
      <c r="B3" s="11" t="s">
        <v>758</v>
      </c>
      <c r="C3" s="11">
        <v>192</v>
      </c>
      <c r="D3" s="11" t="s">
        <v>659</v>
      </c>
      <c r="E3" s="55" t="s">
        <v>439</v>
      </c>
      <c r="F3" s="57" t="s">
        <v>947</v>
      </c>
      <c r="G3" s="231">
        <f>SUM(H3:Q3)</f>
        <v>10.7</v>
      </c>
      <c r="H3" s="156">
        <v>10.7</v>
      </c>
      <c r="I3" s="156"/>
      <c r="J3" s="156"/>
      <c r="K3" s="156"/>
      <c r="L3" s="156"/>
      <c r="M3" s="156"/>
      <c r="N3" s="156"/>
      <c r="O3" s="156"/>
      <c r="P3" s="156"/>
      <c r="Q3" s="156"/>
    </row>
    <row r="4" spans="1:19" s="32" customFormat="1" ht="30" customHeight="1" x14ac:dyDescent="0.25">
      <c r="A4" s="343"/>
      <c r="B4" s="343"/>
      <c r="C4" s="343"/>
      <c r="D4" s="343"/>
      <c r="E4" s="343"/>
      <c r="F4" s="343"/>
      <c r="G4" s="29">
        <f t="shared" ref="G4:Q4" si="0">SUM(G3:G3)</f>
        <v>10.7</v>
      </c>
      <c r="H4" s="29">
        <f t="shared" si="0"/>
        <v>10.7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  <c r="P4" s="29">
        <f t="shared" si="0"/>
        <v>0</v>
      </c>
      <c r="Q4" s="29">
        <f t="shared" si="0"/>
        <v>0</v>
      </c>
      <c r="R4" s="22"/>
      <c r="S4" s="12"/>
    </row>
    <row r="5" spans="1:19" s="27" customFormat="1" x14ac:dyDescent="0.25">
      <c r="A5" s="28"/>
      <c r="B5" s="28"/>
      <c r="C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</sheetData>
  <mergeCells count="2">
    <mergeCell ref="A1:G1"/>
    <mergeCell ref="A4:F4"/>
  </mergeCells>
  <pageMargins left="0.7" right="0.7" top="0.75" bottom="0.75" header="0.3" footer="0.3"/>
  <pageSetup paperSize="5" scale="66" fitToHeight="3" orientation="landscape" horizont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A149-C774-41F0-8DA8-FD33F60E5EB3}">
  <sheetPr>
    <tabColor rgb="FFFF0000"/>
    <pageSetUpPr fitToPage="1"/>
  </sheetPr>
  <dimension ref="A1:R13"/>
  <sheetViews>
    <sheetView view="pageBreakPreview" zoomScale="130" zoomScaleNormal="100" zoomScaleSheetLayoutView="130" workbookViewId="0">
      <pane xSplit="6" ySplit="2" topLeftCell="G3" activePane="bottomRight" state="frozen"/>
      <selection pane="topRight"/>
      <selection pane="bottomLeft"/>
      <selection pane="bottomRight" activeCell="J6" sqref="J6"/>
    </sheetView>
  </sheetViews>
  <sheetFormatPr defaultColWidth="9.140625" defaultRowHeight="15" x14ac:dyDescent="0.25"/>
  <cols>
    <col min="1" max="1" width="10.42578125" style="27" bestFit="1" customWidth="1"/>
    <col min="2" max="2" width="12.42578125" style="27" bestFit="1" customWidth="1"/>
    <col min="3" max="3" width="5.42578125" style="27" bestFit="1" customWidth="1"/>
    <col min="4" max="4" width="29.42578125" style="28" customWidth="1"/>
    <col min="5" max="5" width="14" style="28" bestFit="1" customWidth="1"/>
    <col min="6" max="6" width="44.85546875" style="23" customWidth="1"/>
    <col min="7" max="7" width="12.42578125" style="30" bestFit="1" customWidth="1"/>
    <col min="8" max="17" width="12.140625" style="22" customWidth="1"/>
    <col min="18" max="18" width="9.140625" style="22"/>
    <col min="19" max="16384" width="9.140625" style="23"/>
  </cols>
  <sheetData>
    <row r="1" spans="1:18" ht="24" customHeight="1" x14ac:dyDescent="0.25">
      <c r="A1" s="339" t="s">
        <v>854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21" customFormat="1" ht="55.5" customHeight="1" x14ac:dyDescent="0.25">
      <c r="A2" s="40" t="s">
        <v>705</v>
      </c>
      <c r="B2" s="40" t="s">
        <v>18</v>
      </c>
      <c r="C2" s="40" t="s">
        <v>17</v>
      </c>
      <c r="D2" s="40" t="s">
        <v>486</v>
      </c>
      <c r="E2" s="40" t="s">
        <v>487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  <c r="R2" s="26"/>
    </row>
    <row r="3" spans="1:18" ht="31.5" x14ac:dyDescent="0.25">
      <c r="A3" s="69" t="s">
        <v>731</v>
      </c>
      <c r="B3" s="69" t="s">
        <v>1003</v>
      </c>
      <c r="C3" s="69" t="s">
        <v>1002</v>
      </c>
      <c r="D3" s="16" t="s">
        <v>660</v>
      </c>
      <c r="E3" s="16" t="s">
        <v>401</v>
      </c>
      <c r="F3" s="10" t="s">
        <v>259</v>
      </c>
      <c r="G3" s="67">
        <f>SUM(H3:Q3)</f>
        <v>2.5</v>
      </c>
      <c r="H3" s="8">
        <v>2.5</v>
      </c>
      <c r="I3" s="43"/>
      <c r="J3" s="43"/>
      <c r="K3" s="43"/>
      <c r="L3" s="43"/>
      <c r="M3" s="43"/>
      <c r="N3" s="43"/>
      <c r="O3" s="43"/>
      <c r="P3" s="43"/>
      <c r="Q3" s="43"/>
    </row>
    <row r="4" spans="1:18" ht="31.5" x14ac:dyDescent="0.25">
      <c r="A4" s="69" t="s">
        <v>731</v>
      </c>
      <c r="B4" s="69" t="s">
        <v>1003</v>
      </c>
      <c r="C4" s="69" t="s">
        <v>1002</v>
      </c>
      <c r="D4" s="16" t="s">
        <v>660</v>
      </c>
      <c r="E4" s="16" t="s">
        <v>401</v>
      </c>
      <c r="F4" s="163" t="s">
        <v>888</v>
      </c>
      <c r="G4" s="67">
        <f t="shared" ref="G4:G10" si="0">SUM(H4:Q4)</f>
        <v>4.5999999999999996</v>
      </c>
      <c r="H4" s="8">
        <v>4.5999999999999996</v>
      </c>
      <c r="I4" s="43"/>
      <c r="J4" s="43"/>
      <c r="K4" s="43"/>
      <c r="L4" s="43"/>
      <c r="M4" s="43"/>
      <c r="N4" s="43"/>
      <c r="O4" s="43"/>
      <c r="P4" s="43"/>
      <c r="Q4" s="43"/>
    </row>
    <row r="5" spans="1:18" s="22" customFormat="1" ht="31.5" x14ac:dyDescent="0.25">
      <c r="A5" s="69" t="s">
        <v>731</v>
      </c>
      <c r="B5" s="69" t="s">
        <v>1003</v>
      </c>
      <c r="C5" s="69" t="s">
        <v>1002</v>
      </c>
      <c r="D5" s="16" t="s">
        <v>660</v>
      </c>
      <c r="E5" s="16" t="s">
        <v>401</v>
      </c>
      <c r="F5" s="164" t="s">
        <v>889</v>
      </c>
      <c r="G5" s="67">
        <f t="shared" si="0"/>
        <v>7.2</v>
      </c>
      <c r="H5" s="8">
        <v>7.2</v>
      </c>
      <c r="I5" s="43"/>
      <c r="J5" s="43"/>
      <c r="K5" s="43"/>
      <c r="L5" s="43"/>
      <c r="M5" s="43"/>
      <c r="N5" s="43"/>
      <c r="O5" s="43"/>
      <c r="P5" s="43"/>
      <c r="Q5" s="43"/>
    </row>
    <row r="6" spans="1:18" ht="31.5" x14ac:dyDescent="0.25">
      <c r="A6" s="69" t="s">
        <v>731</v>
      </c>
      <c r="B6" s="69" t="s">
        <v>1003</v>
      </c>
      <c r="C6" s="69" t="s">
        <v>1002</v>
      </c>
      <c r="D6" s="16" t="s">
        <v>660</v>
      </c>
      <c r="E6" s="16" t="s">
        <v>401</v>
      </c>
      <c r="F6" s="10" t="s">
        <v>548</v>
      </c>
      <c r="G6" s="67">
        <f t="shared" si="0"/>
        <v>7.5</v>
      </c>
      <c r="H6" s="8">
        <v>7.5</v>
      </c>
      <c r="I6" s="43"/>
      <c r="J6" s="43"/>
      <c r="K6" s="43"/>
      <c r="L6" s="43"/>
      <c r="M6" s="43"/>
      <c r="N6" s="43"/>
      <c r="O6" s="43"/>
      <c r="P6" s="43"/>
      <c r="Q6" s="43"/>
    </row>
    <row r="7" spans="1:18" ht="31.5" x14ac:dyDescent="0.25">
      <c r="A7" s="69" t="s">
        <v>731</v>
      </c>
      <c r="B7" s="69" t="s">
        <v>1003</v>
      </c>
      <c r="C7" s="69" t="s">
        <v>1002</v>
      </c>
      <c r="D7" s="16" t="s">
        <v>660</v>
      </c>
      <c r="E7" s="16" t="s">
        <v>401</v>
      </c>
      <c r="F7" s="163" t="s">
        <v>890</v>
      </c>
      <c r="G7" s="67">
        <f t="shared" si="0"/>
        <v>4.5</v>
      </c>
      <c r="H7" s="8">
        <v>4.5</v>
      </c>
      <c r="I7" s="43"/>
      <c r="J7" s="43"/>
      <c r="K7" s="43"/>
      <c r="L7" s="43"/>
      <c r="M7" s="43"/>
      <c r="N7" s="43"/>
      <c r="O7" s="43"/>
      <c r="P7" s="43"/>
      <c r="Q7" s="43"/>
    </row>
    <row r="8" spans="1:18" ht="47.25" x14ac:dyDescent="0.25">
      <c r="A8" s="69" t="s">
        <v>731</v>
      </c>
      <c r="B8" s="69" t="s">
        <v>1003</v>
      </c>
      <c r="C8" s="69" t="s">
        <v>1002</v>
      </c>
      <c r="D8" s="16" t="s">
        <v>660</v>
      </c>
      <c r="E8" s="16" t="s">
        <v>401</v>
      </c>
      <c r="F8" s="163" t="s">
        <v>891</v>
      </c>
      <c r="G8" s="67">
        <f t="shared" si="0"/>
        <v>5</v>
      </c>
      <c r="H8" s="8">
        <v>5</v>
      </c>
      <c r="I8" s="43"/>
      <c r="J8" s="43"/>
      <c r="K8" s="43"/>
      <c r="L8" s="43"/>
      <c r="M8" s="43"/>
      <c r="N8" s="43"/>
      <c r="O8" s="43"/>
      <c r="P8" s="43"/>
      <c r="Q8" s="43"/>
    </row>
    <row r="9" spans="1:18" ht="31.5" x14ac:dyDescent="0.25">
      <c r="A9" s="69" t="s">
        <v>731</v>
      </c>
      <c r="B9" s="69" t="s">
        <v>1003</v>
      </c>
      <c r="C9" s="69" t="s">
        <v>1002</v>
      </c>
      <c r="D9" s="16" t="s">
        <v>660</v>
      </c>
      <c r="E9" s="16" t="s">
        <v>401</v>
      </c>
      <c r="F9" s="163" t="s">
        <v>892</v>
      </c>
      <c r="G9" s="67">
        <f t="shared" si="0"/>
        <v>8.25</v>
      </c>
      <c r="H9" s="2">
        <v>8.25</v>
      </c>
      <c r="I9" s="2"/>
      <c r="J9" s="2"/>
      <c r="K9" s="2"/>
      <c r="L9" s="2"/>
      <c r="M9" s="2"/>
      <c r="N9" s="2"/>
      <c r="O9" s="2"/>
      <c r="P9" s="2"/>
      <c r="Q9" s="2"/>
    </row>
    <row r="10" spans="1:18" s="22" customFormat="1" ht="31.5" x14ac:dyDescent="0.25">
      <c r="A10" s="69" t="s">
        <v>731</v>
      </c>
      <c r="B10" s="69" t="s">
        <v>1003</v>
      </c>
      <c r="C10" s="69" t="s">
        <v>1002</v>
      </c>
      <c r="D10" s="16" t="s">
        <v>660</v>
      </c>
      <c r="E10" s="16" t="s">
        <v>401</v>
      </c>
      <c r="F10" s="163" t="s">
        <v>893</v>
      </c>
      <c r="G10" s="67">
        <f t="shared" si="0"/>
        <v>3</v>
      </c>
      <c r="H10" s="8">
        <v>3</v>
      </c>
      <c r="I10" s="43"/>
      <c r="J10" s="43"/>
      <c r="K10" s="43"/>
      <c r="L10" s="43"/>
      <c r="M10" s="43"/>
      <c r="N10" s="43"/>
      <c r="O10" s="43"/>
      <c r="P10" s="43"/>
      <c r="Q10" s="43"/>
    </row>
    <row r="11" spans="1:18" s="32" customFormat="1" ht="25.5" customHeight="1" x14ac:dyDescent="0.25">
      <c r="A11" s="344"/>
      <c r="B11" s="344"/>
      <c r="C11" s="344"/>
      <c r="D11" s="344"/>
      <c r="E11" s="344"/>
      <c r="F11" s="344"/>
      <c r="G11" s="42">
        <f>SUM(G3:G10)</f>
        <v>42.55</v>
      </c>
      <c r="H11" s="42">
        <f>SUM(H3:H10)</f>
        <v>42.55</v>
      </c>
      <c r="I11" s="42">
        <f t="shared" ref="I11:Q11" si="1">SUM(I7:I10)</f>
        <v>0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  <c r="N11" s="42">
        <f t="shared" si="1"/>
        <v>0</v>
      </c>
      <c r="O11" s="42">
        <f t="shared" si="1"/>
        <v>0</v>
      </c>
      <c r="P11" s="42">
        <f t="shared" si="1"/>
        <v>0</v>
      </c>
      <c r="Q11" s="42">
        <f t="shared" si="1"/>
        <v>0</v>
      </c>
      <c r="R11" s="30"/>
    </row>
    <row r="12" spans="1:18" s="27" customFormat="1" x14ac:dyDescent="0.25">
      <c r="D12" s="28"/>
      <c r="E12" s="28"/>
      <c r="F12" s="23"/>
      <c r="G12" s="2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s="27" customFormat="1" x14ac:dyDescent="0.25">
      <c r="D13" s="28"/>
      <c r="E13" s="28"/>
      <c r="F13" s="23"/>
      <c r="G13" s="2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</sheetData>
  <mergeCells count="2">
    <mergeCell ref="A1:G1"/>
    <mergeCell ref="A11:F11"/>
  </mergeCells>
  <phoneticPr fontId="15" type="noConversion"/>
  <pageMargins left="0.25" right="0.25" top="0.75" bottom="0.75" header="0.3" footer="0.3"/>
  <pageSetup paperSize="5" scale="68" fitToHeight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S4"/>
  <sheetViews>
    <sheetView view="pageBreakPreview" zoomScale="109" zoomScaleNormal="100" workbookViewId="0">
      <selection activeCell="K11" sqref="K11"/>
    </sheetView>
  </sheetViews>
  <sheetFormatPr defaultColWidth="9.140625" defaultRowHeight="15" x14ac:dyDescent="0.25"/>
  <cols>
    <col min="1" max="1" width="7.140625" style="28" customWidth="1"/>
    <col min="2" max="2" width="30.7109375" style="28" customWidth="1"/>
    <col min="3" max="3" width="7.140625" style="28" customWidth="1"/>
    <col min="4" max="5" width="25.28515625" style="28" customWidth="1"/>
    <col min="6" max="6" width="33.42578125" style="23" customWidth="1"/>
    <col min="7" max="7" width="9.85546875" style="30" customWidth="1"/>
    <col min="8" max="17" width="10.8554687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0" t="s">
        <v>855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7" t="s">
        <v>0</v>
      </c>
      <c r="B2" s="37" t="s">
        <v>18</v>
      </c>
      <c r="C2" s="37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30" x14ac:dyDescent="0.25">
      <c r="A3" s="11" t="s">
        <v>731</v>
      </c>
      <c r="B3" s="11" t="s">
        <v>729</v>
      </c>
      <c r="C3" s="7">
        <v>182</v>
      </c>
      <c r="D3" s="11" t="s">
        <v>730</v>
      </c>
      <c r="E3" s="11" t="s">
        <v>371</v>
      </c>
      <c r="F3" s="10" t="s">
        <v>147</v>
      </c>
      <c r="G3" s="237">
        <f>SUM(H3:Q3)</f>
        <v>121.99000000000001</v>
      </c>
      <c r="H3" s="100">
        <v>13.99</v>
      </c>
      <c r="I3" s="100">
        <v>12</v>
      </c>
      <c r="J3" s="100">
        <v>12</v>
      </c>
      <c r="K3" s="100">
        <v>12</v>
      </c>
      <c r="L3" s="100">
        <v>12</v>
      </c>
      <c r="M3" s="100">
        <v>12</v>
      </c>
      <c r="N3" s="100">
        <v>12</v>
      </c>
      <c r="O3" s="100">
        <v>12</v>
      </c>
      <c r="P3" s="100">
        <v>12</v>
      </c>
      <c r="Q3" s="100">
        <v>12</v>
      </c>
    </row>
    <row r="4" spans="1:19" s="32" customFormat="1" ht="30" customHeight="1" x14ac:dyDescent="0.25">
      <c r="A4" s="343" t="s">
        <v>15</v>
      </c>
      <c r="B4" s="343"/>
      <c r="C4" s="343"/>
      <c r="D4" s="343"/>
      <c r="E4" s="343"/>
      <c r="F4" s="343"/>
      <c r="G4" s="12">
        <f>SUM(G3:G3)</f>
        <v>121.99000000000001</v>
      </c>
      <c r="H4" s="12">
        <f>SUM(H3:H3)</f>
        <v>13.99</v>
      </c>
      <c r="I4" s="12">
        <f t="shared" ref="I4:Q4" si="0">SUM(I3:I3)</f>
        <v>12</v>
      </c>
      <c r="J4" s="12">
        <f t="shared" si="0"/>
        <v>12</v>
      </c>
      <c r="K4" s="12">
        <f t="shared" si="0"/>
        <v>12</v>
      </c>
      <c r="L4" s="12">
        <f t="shared" si="0"/>
        <v>12</v>
      </c>
      <c r="M4" s="12">
        <f t="shared" si="0"/>
        <v>12</v>
      </c>
      <c r="N4" s="12">
        <f t="shared" si="0"/>
        <v>12</v>
      </c>
      <c r="O4" s="12">
        <f t="shared" si="0"/>
        <v>12</v>
      </c>
      <c r="P4" s="12">
        <f t="shared" si="0"/>
        <v>12</v>
      </c>
      <c r="Q4" s="12">
        <f t="shared" si="0"/>
        <v>12</v>
      </c>
      <c r="R4" s="22"/>
      <c r="S4" s="30"/>
    </row>
  </sheetData>
  <mergeCells count="2">
    <mergeCell ref="A4:F4"/>
    <mergeCell ref="A1:G1"/>
  </mergeCells>
  <pageMargins left="0.2" right="0.2" top="0.75" bottom="0.75" header="0.3" footer="0.3"/>
  <pageSetup paperSize="5" scale="70" fitToHeight="0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S12"/>
  <sheetViews>
    <sheetView view="pageBreakPreview" zoomScale="130" zoomScaleNormal="100" zoomScaleSheetLayoutView="130" workbookViewId="0">
      <selection activeCell="F3" sqref="F3"/>
    </sheetView>
  </sheetViews>
  <sheetFormatPr defaultColWidth="9.140625" defaultRowHeight="15" x14ac:dyDescent="0.25"/>
  <cols>
    <col min="1" max="1" width="7.140625" style="27" customWidth="1"/>
    <col min="2" max="2" width="15.85546875" style="27" customWidth="1"/>
    <col min="3" max="3" width="7.140625" style="27" customWidth="1"/>
    <col min="4" max="4" width="15.85546875" style="28" customWidth="1"/>
    <col min="5" max="5" width="16" style="28" customWidth="1"/>
    <col min="6" max="6" width="33.42578125" style="23" customWidth="1"/>
    <col min="7" max="7" width="9.85546875" style="30" customWidth="1"/>
    <col min="8" max="8" width="7" style="22" bestFit="1" customWidth="1"/>
    <col min="9" max="9" width="11.28515625" style="22" customWidth="1"/>
    <col min="10" max="10" width="11.7109375" style="22" customWidth="1"/>
    <col min="11" max="11" width="9.7109375" style="22" customWidth="1"/>
    <col min="12" max="12" width="9.28515625" style="22" customWidth="1"/>
    <col min="13" max="13" width="9.140625" style="22" customWidth="1"/>
    <col min="14" max="16" width="9.7109375" style="22" bestFit="1" customWidth="1"/>
    <col min="17" max="17" width="9.710937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0" t="s">
        <v>856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0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30" x14ac:dyDescent="0.25">
      <c r="A3" s="7" t="s">
        <v>735</v>
      </c>
      <c r="B3" s="7" t="s">
        <v>736</v>
      </c>
      <c r="C3" s="7">
        <v>172</v>
      </c>
      <c r="D3" s="11" t="s">
        <v>661</v>
      </c>
      <c r="E3" s="11" t="s">
        <v>663</v>
      </c>
      <c r="F3" s="10" t="s">
        <v>145</v>
      </c>
      <c r="G3" s="237">
        <f>SUM(H3:Q3)</f>
        <v>159.56000000000006</v>
      </c>
      <c r="H3" s="100">
        <v>120</v>
      </c>
      <c r="I3" s="100">
        <v>5.0999999999999996</v>
      </c>
      <c r="J3" s="100">
        <v>4.47</v>
      </c>
      <c r="K3" s="100">
        <v>7.02</v>
      </c>
      <c r="L3" s="100">
        <v>3.83</v>
      </c>
      <c r="M3" s="100">
        <v>2.5499999999999998</v>
      </c>
      <c r="N3" s="100">
        <v>7.02</v>
      </c>
      <c r="O3" s="100">
        <v>3.83</v>
      </c>
      <c r="P3" s="100">
        <v>2.5499999999999998</v>
      </c>
      <c r="Q3" s="100">
        <v>3.19</v>
      </c>
    </row>
    <row r="4" spans="1:19" ht="30" x14ac:dyDescent="0.25">
      <c r="A4" s="7" t="s">
        <v>735</v>
      </c>
      <c r="B4" s="7" t="s">
        <v>662</v>
      </c>
      <c r="C4" s="7">
        <v>174</v>
      </c>
      <c r="D4" s="11" t="s">
        <v>662</v>
      </c>
      <c r="E4" s="11" t="s">
        <v>663</v>
      </c>
      <c r="F4" s="10" t="s">
        <v>146</v>
      </c>
      <c r="G4" s="237">
        <f>SUM(H4:Q4)</f>
        <v>6</v>
      </c>
      <c r="H4" s="2">
        <v>6</v>
      </c>
      <c r="I4" s="2"/>
      <c r="J4" s="2"/>
      <c r="K4" s="2"/>
      <c r="L4" s="2"/>
      <c r="M4" s="2"/>
      <c r="N4" s="2"/>
      <c r="O4" s="2"/>
      <c r="P4" s="2"/>
      <c r="Q4" s="2"/>
    </row>
    <row r="5" spans="1:19" s="32" customFormat="1" ht="30" customHeight="1" x14ac:dyDescent="0.25">
      <c r="A5" s="343" t="s">
        <v>15</v>
      </c>
      <c r="B5" s="343"/>
      <c r="C5" s="343"/>
      <c r="D5" s="343"/>
      <c r="E5" s="343"/>
      <c r="F5" s="343"/>
      <c r="G5" s="12">
        <f t="shared" ref="G5:Q5" si="0">SUM(G3:G4)</f>
        <v>165.56000000000006</v>
      </c>
      <c r="H5" s="12">
        <f t="shared" si="0"/>
        <v>126</v>
      </c>
      <c r="I5" s="12">
        <f t="shared" si="0"/>
        <v>5.0999999999999996</v>
      </c>
      <c r="J5" s="12">
        <f t="shared" si="0"/>
        <v>4.47</v>
      </c>
      <c r="K5" s="12">
        <f t="shared" si="0"/>
        <v>7.02</v>
      </c>
      <c r="L5" s="12">
        <f t="shared" si="0"/>
        <v>3.83</v>
      </c>
      <c r="M5" s="12">
        <f t="shared" si="0"/>
        <v>2.5499999999999998</v>
      </c>
      <c r="N5" s="12">
        <f t="shared" si="0"/>
        <v>7.02</v>
      </c>
      <c r="O5" s="12">
        <f t="shared" si="0"/>
        <v>3.83</v>
      </c>
      <c r="P5" s="12">
        <f t="shared" si="0"/>
        <v>2.5499999999999998</v>
      </c>
      <c r="Q5" s="12">
        <f t="shared" si="0"/>
        <v>3.19</v>
      </c>
      <c r="R5" s="22"/>
      <c r="S5" s="30"/>
    </row>
    <row r="6" spans="1:19" s="27" customFormat="1" x14ac:dyDescent="0.25"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s="27" customFormat="1" x14ac:dyDescent="0.25">
      <c r="D7" s="28"/>
      <c r="E7" s="28"/>
      <c r="F7" s="23"/>
      <c r="G7" s="26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12" spans="1:19" x14ac:dyDescent="0.25">
      <c r="K12" s="22" t="s">
        <v>431</v>
      </c>
    </row>
  </sheetData>
  <mergeCells count="2">
    <mergeCell ref="A5:F5"/>
    <mergeCell ref="A1:G1"/>
  </mergeCells>
  <pageMargins left="0.2" right="0.2" top="0.75" bottom="0.75" header="0.3" footer="0.3"/>
  <pageSetup paperSize="5" scale="85" fitToHeight="0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C9FA-F447-49CE-AA15-0371047CD383}">
  <sheetPr>
    <tabColor rgb="FFFF0000"/>
    <pageSetUpPr fitToPage="1"/>
  </sheetPr>
  <dimension ref="A1:Q17"/>
  <sheetViews>
    <sheetView view="pageBreakPreview" topLeftCell="B4" zoomScaleNormal="94" zoomScaleSheetLayoutView="100" workbookViewId="0">
      <selection activeCell="F9" sqref="F9"/>
    </sheetView>
  </sheetViews>
  <sheetFormatPr defaultColWidth="9.140625" defaultRowHeight="15" x14ac:dyDescent="0.25"/>
  <cols>
    <col min="1" max="1" width="10" style="5" customWidth="1"/>
    <col min="2" max="2" width="13.7109375" style="108" customWidth="1"/>
    <col min="3" max="3" width="6.140625" style="108" customWidth="1"/>
    <col min="4" max="4" width="29.7109375" style="5" customWidth="1"/>
    <col min="5" max="5" width="27.28515625" style="4" customWidth="1"/>
    <col min="6" max="6" width="31.42578125" style="4" customWidth="1"/>
    <col min="7" max="7" width="12.85546875" style="6" customWidth="1"/>
    <col min="8" max="8" width="12.85546875" style="4" customWidth="1"/>
    <col min="9" max="9" width="12.42578125" style="4" customWidth="1"/>
    <col min="10" max="10" width="11.85546875" style="4" customWidth="1"/>
    <col min="11" max="11" width="12" style="4" customWidth="1"/>
    <col min="12" max="15" width="11.42578125" style="4" customWidth="1"/>
    <col min="16" max="16" width="11.28515625" style="4" customWidth="1"/>
    <col min="17" max="17" width="11.28515625" style="5" customWidth="1"/>
    <col min="18" max="16384" width="9.140625" style="5"/>
  </cols>
  <sheetData>
    <row r="1" spans="1:17" ht="27" customHeight="1" x14ac:dyDescent="0.25">
      <c r="A1" s="345" t="s">
        <v>857</v>
      </c>
      <c r="B1" s="345"/>
      <c r="C1" s="345"/>
      <c r="D1" s="345"/>
      <c r="E1" s="345"/>
      <c r="F1" s="345"/>
      <c r="G1" s="345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 ht="30" x14ac:dyDescent="0.25">
      <c r="A2" s="97" t="s">
        <v>722</v>
      </c>
      <c r="B2" s="97" t="s">
        <v>488</v>
      </c>
      <c r="C2" s="97" t="s">
        <v>17</v>
      </c>
      <c r="D2" s="97" t="s">
        <v>486</v>
      </c>
      <c r="E2" s="97" t="s">
        <v>487</v>
      </c>
      <c r="F2" s="126" t="s">
        <v>988</v>
      </c>
      <c r="G2" s="9" t="s">
        <v>836</v>
      </c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  <c r="N2" s="9" t="s">
        <v>9</v>
      </c>
      <c r="O2" s="9" t="s">
        <v>10</v>
      </c>
      <c r="P2" s="9" t="s">
        <v>746</v>
      </c>
      <c r="Q2" s="9" t="s">
        <v>12</v>
      </c>
    </row>
    <row r="3" spans="1:17" x14ac:dyDescent="0.25">
      <c r="A3" s="97"/>
      <c r="B3" s="97"/>
      <c r="C3" s="97"/>
      <c r="D3" s="97"/>
      <c r="E3" s="97"/>
      <c r="F3" s="126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45" x14ac:dyDescent="0.25">
      <c r="A4" s="98" t="s">
        <v>747</v>
      </c>
      <c r="B4" s="15" t="s">
        <v>27</v>
      </c>
      <c r="C4" s="15">
        <v>175</v>
      </c>
      <c r="D4" s="1" t="s">
        <v>601</v>
      </c>
      <c r="E4" s="1" t="s">
        <v>400</v>
      </c>
      <c r="F4" s="99" t="s">
        <v>467</v>
      </c>
      <c r="G4" s="238">
        <f>SUM(H4:Q4)</f>
        <v>11.15</v>
      </c>
      <c r="H4" s="160">
        <v>11.15</v>
      </c>
      <c r="I4" s="101">
        <v>0</v>
      </c>
      <c r="J4" s="101">
        <v>0</v>
      </c>
      <c r="K4" s="101">
        <v>0</v>
      </c>
      <c r="L4" s="101">
        <v>0</v>
      </c>
      <c r="M4" s="101">
        <v>0</v>
      </c>
      <c r="N4" s="101">
        <v>0</v>
      </c>
      <c r="O4" s="101">
        <v>0</v>
      </c>
      <c r="P4" s="101">
        <v>0</v>
      </c>
      <c r="Q4" s="101">
        <v>0</v>
      </c>
    </row>
    <row r="5" spans="1:17" ht="45" x14ac:dyDescent="0.25">
      <c r="A5" s="98" t="s">
        <v>747</v>
      </c>
      <c r="B5" s="15" t="s">
        <v>27</v>
      </c>
      <c r="C5" s="15">
        <v>175</v>
      </c>
      <c r="D5" s="1" t="s">
        <v>601</v>
      </c>
      <c r="E5" s="102" t="s">
        <v>371</v>
      </c>
      <c r="F5" s="102" t="s">
        <v>642</v>
      </c>
      <c r="G5" s="238">
        <f t="shared" ref="G5:G16" si="0">SUM(H5:Q5)</f>
        <v>18.980000000000008</v>
      </c>
      <c r="H5" s="100">
        <v>16.28</v>
      </c>
      <c r="I5" s="100">
        <v>0.3</v>
      </c>
      <c r="J5" s="100">
        <v>0.3</v>
      </c>
      <c r="K5" s="100">
        <v>0.3</v>
      </c>
      <c r="L5" s="100">
        <v>0.3</v>
      </c>
      <c r="M5" s="100">
        <v>0.3</v>
      </c>
      <c r="N5" s="100">
        <v>0.3</v>
      </c>
      <c r="O5" s="100">
        <v>0.3</v>
      </c>
      <c r="P5" s="100">
        <v>0.3</v>
      </c>
      <c r="Q5" s="100">
        <v>0.3</v>
      </c>
    </row>
    <row r="6" spans="1:17" ht="45" x14ac:dyDescent="0.25">
      <c r="A6" s="98" t="s">
        <v>747</v>
      </c>
      <c r="B6" s="15" t="s">
        <v>27</v>
      </c>
      <c r="C6" s="15">
        <v>175</v>
      </c>
      <c r="D6" s="1" t="s">
        <v>601</v>
      </c>
      <c r="E6" s="102" t="s">
        <v>371</v>
      </c>
      <c r="F6" s="103" t="s">
        <v>466</v>
      </c>
      <c r="G6" s="238">
        <f t="shared" si="0"/>
        <v>22.16</v>
      </c>
      <c r="H6" s="127">
        <v>22.16</v>
      </c>
      <c r="I6" s="101">
        <v>0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v>0</v>
      </c>
      <c r="P6" s="101">
        <v>0</v>
      </c>
      <c r="Q6" s="101">
        <v>0</v>
      </c>
    </row>
    <row r="7" spans="1:17" ht="45" x14ac:dyDescent="0.25">
      <c r="A7" s="98" t="s">
        <v>747</v>
      </c>
      <c r="B7" s="15" t="s">
        <v>27</v>
      </c>
      <c r="C7" s="15">
        <v>175</v>
      </c>
      <c r="D7" s="1" t="s">
        <v>601</v>
      </c>
      <c r="E7" s="1" t="s">
        <v>371</v>
      </c>
      <c r="F7" s="1" t="s">
        <v>465</v>
      </c>
      <c r="G7" s="238">
        <f t="shared" si="0"/>
        <v>3.46</v>
      </c>
      <c r="H7" s="100">
        <v>3.46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0</v>
      </c>
    </row>
    <row r="8" spans="1:17" ht="45" x14ac:dyDescent="0.25">
      <c r="A8" s="98" t="s">
        <v>747</v>
      </c>
      <c r="B8" s="15" t="s">
        <v>27</v>
      </c>
      <c r="C8" s="15">
        <v>175</v>
      </c>
      <c r="D8" s="1" t="s">
        <v>601</v>
      </c>
      <c r="E8" s="102" t="s">
        <v>464</v>
      </c>
      <c r="F8" s="1" t="s">
        <v>336</v>
      </c>
      <c r="G8" s="238">
        <f t="shared" si="0"/>
        <v>0.4</v>
      </c>
      <c r="H8" s="101">
        <v>0.4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</row>
    <row r="9" spans="1:17" ht="45" x14ac:dyDescent="0.25">
      <c r="A9" s="98" t="s">
        <v>747</v>
      </c>
      <c r="B9" s="15" t="s">
        <v>27</v>
      </c>
      <c r="C9" s="15">
        <v>175</v>
      </c>
      <c r="D9" s="1" t="s">
        <v>601</v>
      </c>
      <c r="E9" s="102" t="s">
        <v>464</v>
      </c>
      <c r="F9" s="1" t="s">
        <v>337</v>
      </c>
      <c r="G9" s="238">
        <f t="shared" si="0"/>
        <v>0.72</v>
      </c>
      <c r="H9" s="101">
        <v>0</v>
      </c>
      <c r="I9" s="101">
        <v>0.08</v>
      </c>
      <c r="J9" s="101">
        <v>0.08</v>
      </c>
      <c r="K9" s="101">
        <v>0.08</v>
      </c>
      <c r="L9" s="101">
        <v>0.08</v>
      </c>
      <c r="M9" s="101">
        <v>0.08</v>
      </c>
      <c r="N9" s="101">
        <v>0.08</v>
      </c>
      <c r="O9" s="101">
        <v>0.08</v>
      </c>
      <c r="P9" s="101">
        <v>0.08</v>
      </c>
      <c r="Q9" s="101">
        <v>0.08</v>
      </c>
    </row>
    <row r="10" spans="1:17" ht="30" x14ac:dyDescent="0.25">
      <c r="A10" s="98" t="s">
        <v>747</v>
      </c>
      <c r="B10" s="15" t="s">
        <v>27</v>
      </c>
      <c r="C10" s="15">
        <v>176</v>
      </c>
      <c r="D10" s="1" t="s">
        <v>479</v>
      </c>
      <c r="E10" s="1" t="s">
        <v>400</v>
      </c>
      <c r="F10" s="99" t="s">
        <v>360</v>
      </c>
      <c r="G10" s="238">
        <f t="shared" si="0"/>
        <v>21.71</v>
      </c>
      <c r="H10" s="101">
        <v>2.12</v>
      </c>
      <c r="I10" s="101">
        <f>0.4+1.65+0.78</f>
        <v>2.83</v>
      </c>
      <c r="J10" s="101">
        <f>0.4+0.87+0.55</f>
        <v>1.82</v>
      </c>
      <c r="K10" s="101">
        <f>0.4+1.2+1.02+0.14</f>
        <v>2.7600000000000002</v>
      </c>
      <c r="L10" s="101">
        <f>0.4+0.69+0.6</f>
        <v>1.69</v>
      </c>
      <c r="M10" s="101">
        <f>0.4+0.78+0.605</f>
        <v>1.7850000000000001</v>
      </c>
      <c r="N10" s="101">
        <f>0.4+1.83+1</f>
        <v>3.23</v>
      </c>
      <c r="O10" s="101">
        <f>0.4+1.05+0.75</f>
        <v>2.2000000000000002</v>
      </c>
      <c r="P10" s="101">
        <f>0.4+0.69+0.55</f>
        <v>1.64</v>
      </c>
      <c r="Q10" s="101">
        <f>0.4+0.63+0.605</f>
        <v>1.635</v>
      </c>
    </row>
    <row r="11" spans="1:17" ht="30" x14ac:dyDescent="0.25">
      <c r="A11" s="98" t="s">
        <v>747</v>
      </c>
      <c r="B11" s="15" t="s">
        <v>27</v>
      </c>
      <c r="C11" s="15">
        <v>176</v>
      </c>
      <c r="D11" s="1" t="s">
        <v>479</v>
      </c>
      <c r="E11" s="102" t="s">
        <v>371</v>
      </c>
      <c r="F11" s="1" t="s">
        <v>333</v>
      </c>
      <c r="G11" s="238">
        <f t="shared" si="0"/>
        <v>38.200000000000003</v>
      </c>
      <c r="H11" s="278">
        <v>6.51</v>
      </c>
      <c r="I11" s="278">
        <f>1.1+0.38+2.75+0.81</f>
        <v>5.0400000000000009</v>
      </c>
      <c r="J11" s="278">
        <f>0.58+0.28+1.45+0.58</f>
        <v>2.89</v>
      </c>
      <c r="K11" s="278">
        <f>0.8+0.48+2+1.11</f>
        <v>4.3900000000000006</v>
      </c>
      <c r="L11" s="278">
        <f>0.46+0.3+1.15+0.63</f>
        <v>2.54</v>
      </c>
      <c r="M11" s="278">
        <f>0.52+0.3+1.3+0.63</f>
        <v>2.75</v>
      </c>
      <c r="N11" s="278">
        <f>1.22+0.44+3.05+1.01</f>
        <v>5.72</v>
      </c>
      <c r="O11" s="278">
        <f>0.7+0.38+1.75+0.83</f>
        <v>3.66</v>
      </c>
      <c r="P11" s="278">
        <f>0.46+0.24+1.05+0.45</f>
        <v>2.2000000000000002</v>
      </c>
      <c r="Q11" s="278">
        <f>0.42+0.3+1.15+0.63</f>
        <v>2.5</v>
      </c>
    </row>
    <row r="12" spans="1:17" ht="30" x14ac:dyDescent="0.25">
      <c r="A12" s="98" t="s">
        <v>747</v>
      </c>
      <c r="B12" s="15" t="s">
        <v>27</v>
      </c>
      <c r="C12" s="15">
        <v>176</v>
      </c>
      <c r="D12" s="102" t="s">
        <v>479</v>
      </c>
      <c r="E12" s="102" t="s">
        <v>371</v>
      </c>
      <c r="F12" s="1" t="s">
        <v>221</v>
      </c>
      <c r="G12" s="238">
        <f t="shared" si="0"/>
        <v>164.64</v>
      </c>
      <c r="H12" s="101">
        <v>164.64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</row>
    <row r="13" spans="1:17" ht="30" x14ac:dyDescent="0.25">
      <c r="A13" s="98" t="s">
        <v>747</v>
      </c>
      <c r="B13" s="15" t="s">
        <v>27</v>
      </c>
      <c r="C13" s="15">
        <v>176</v>
      </c>
      <c r="D13" s="102" t="s">
        <v>479</v>
      </c>
      <c r="E13" s="102" t="s">
        <v>371</v>
      </c>
      <c r="F13" s="1" t="s">
        <v>332</v>
      </c>
      <c r="G13" s="238">
        <f t="shared" si="0"/>
        <v>20.67</v>
      </c>
      <c r="H13" s="101">
        <v>0</v>
      </c>
      <c r="I13" s="279">
        <f>4.77/2</f>
        <v>2.3849999999999998</v>
      </c>
      <c r="J13" s="279">
        <f>4.24/2</f>
        <v>2.12</v>
      </c>
      <c r="K13" s="279">
        <f>7.42/2</f>
        <v>3.71</v>
      </c>
      <c r="L13" s="279">
        <f>3.71/2</f>
        <v>1.855</v>
      </c>
      <c r="M13" s="279">
        <f>3.71/2</f>
        <v>1.855</v>
      </c>
      <c r="N13" s="279">
        <f>6.89/2</f>
        <v>3.4449999999999998</v>
      </c>
      <c r="O13" s="279">
        <v>2.12</v>
      </c>
      <c r="P13" s="279">
        <f>2.65/2</f>
        <v>1.325</v>
      </c>
      <c r="Q13" s="279">
        <f>3.71/2</f>
        <v>1.855</v>
      </c>
    </row>
    <row r="14" spans="1:17" ht="30" x14ac:dyDescent="0.25">
      <c r="A14" s="98" t="s">
        <v>747</v>
      </c>
      <c r="B14" s="15" t="s">
        <v>27</v>
      </c>
      <c r="C14" s="15">
        <v>176</v>
      </c>
      <c r="D14" s="102" t="s">
        <v>479</v>
      </c>
      <c r="E14" s="102" t="s">
        <v>371</v>
      </c>
      <c r="F14" s="1" t="s">
        <v>334</v>
      </c>
      <c r="G14" s="238">
        <f t="shared" si="0"/>
        <v>2</v>
      </c>
      <c r="H14" s="101">
        <v>2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</row>
    <row r="15" spans="1:17" ht="30" x14ac:dyDescent="0.25">
      <c r="A15" s="98" t="s">
        <v>747</v>
      </c>
      <c r="B15" s="15" t="s">
        <v>27</v>
      </c>
      <c r="C15" s="15">
        <v>176</v>
      </c>
      <c r="D15" s="1" t="s">
        <v>479</v>
      </c>
      <c r="E15" s="1" t="s">
        <v>371</v>
      </c>
      <c r="F15" s="1" t="s">
        <v>335</v>
      </c>
      <c r="G15" s="238">
        <f t="shared" si="0"/>
        <v>17.684999999999999</v>
      </c>
      <c r="H15" s="280">
        <v>5.72</v>
      </c>
      <c r="I15" s="279">
        <v>1.38</v>
      </c>
      <c r="J15" s="279">
        <v>1.28</v>
      </c>
      <c r="K15" s="279">
        <v>1.8</v>
      </c>
      <c r="L15" s="279">
        <v>1.2</v>
      </c>
      <c r="M15" s="279">
        <v>1.18</v>
      </c>
      <c r="N15" s="279">
        <v>1.64</v>
      </c>
      <c r="O15" s="279">
        <v>1.28</v>
      </c>
      <c r="P15" s="279">
        <v>1.1950000000000001</v>
      </c>
      <c r="Q15" s="279">
        <v>1.01</v>
      </c>
    </row>
    <row r="16" spans="1:17" ht="30" x14ac:dyDescent="0.25">
      <c r="A16" s="98" t="s">
        <v>747</v>
      </c>
      <c r="B16" s="15" t="s">
        <v>27</v>
      </c>
      <c r="C16" s="15">
        <v>176</v>
      </c>
      <c r="D16" s="1" t="s">
        <v>479</v>
      </c>
      <c r="E16" s="1" t="s">
        <v>371</v>
      </c>
      <c r="F16" s="1" t="s">
        <v>831</v>
      </c>
      <c r="G16" s="238">
        <f t="shared" si="0"/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</row>
    <row r="17" spans="1:17" ht="24" customHeight="1" x14ac:dyDescent="0.25">
      <c r="A17" s="104"/>
      <c r="B17" s="105"/>
      <c r="C17" s="105"/>
      <c r="D17" s="105"/>
      <c r="E17" s="105"/>
      <c r="F17" s="106" t="s">
        <v>20</v>
      </c>
      <c r="G17" s="107">
        <f>SUM(G4:G16)</f>
        <v>321.77500000000003</v>
      </c>
      <c r="H17" s="107">
        <f t="shared" ref="H17:Q17" si="1">SUM(H4:H16)</f>
        <v>234.43999999999997</v>
      </c>
      <c r="I17" s="107">
        <f t="shared" si="1"/>
        <v>12.015000000000001</v>
      </c>
      <c r="J17" s="107">
        <f t="shared" si="1"/>
        <v>8.49</v>
      </c>
      <c r="K17" s="107">
        <f t="shared" si="1"/>
        <v>13.040000000000003</v>
      </c>
      <c r="L17" s="107">
        <f t="shared" si="1"/>
        <v>7.665</v>
      </c>
      <c r="M17" s="107">
        <f t="shared" si="1"/>
        <v>7.9499999999999993</v>
      </c>
      <c r="N17" s="107">
        <f t="shared" si="1"/>
        <v>14.415000000000001</v>
      </c>
      <c r="O17" s="107">
        <f t="shared" si="1"/>
        <v>9.6399999999999988</v>
      </c>
      <c r="P17" s="107">
        <f t="shared" si="1"/>
        <v>6.7400000000000011</v>
      </c>
      <c r="Q17" s="107">
        <f t="shared" si="1"/>
        <v>7.3800000000000008</v>
      </c>
    </row>
  </sheetData>
  <autoFilter ref="A3:Q17" xr:uid="{00000000-0001-0000-1800-000000000000}">
    <sortState xmlns:xlrd2="http://schemas.microsoft.com/office/spreadsheetml/2017/richdata2" ref="A4:Q17">
      <sortCondition ref="C3:C17"/>
    </sortState>
  </autoFilter>
  <mergeCells count="1">
    <mergeCell ref="A1:G1"/>
  </mergeCells>
  <pageMargins left="0.7" right="0.7" top="0.75" bottom="0.75" header="0.3" footer="0.3"/>
  <pageSetup paperSize="5" scale="64" fitToHeight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S19"/>
  <sheetViews>
    <sheetView view="pageBreakPreview" zoomScale="85" zoomScaleNormal="100" zoomScaleSheetLayoutView="85" workbookViewId="0">
      <pane xSplit="6" ySplit="2" topLeftCell="G3" activePane="bottomRight" state="frozen"/>
      <selection pane="topRight"/>
      <selection pane="bottomLeft"/>
      <selection pane="bottomRight" activeCell="U9" sqref="U9"/>
    </sheetView>
  </sheetViews>
  <sheetFormatPr defaultColWidth="9.140625" defaultRowHeight="15" x14ac:dyDescent="0.25"/>
  <cols>
    <col min="1" max="1" width="9" style="27" customWidth="1"/>
    <col min="2" max="2" width="28.140625" style="27" bestFit="1" customWidth="1"/>
    <col min="3" max="3" width="5.42578125" style="27" bestFit="1" customWidth="1"/>
    <col min="4" max="4" width="28.7109375" style="28" customWidth="1"/>
    <col min="5" max="5" width="17.7109375" style="28" bestFit="1" customWidth="1"/>
    <col min="6" max="6" width="44.85546875" style="23" customWidth="1"/>
    <col min="7" max="7" width="12.140625" style="26" customWidth="1"/>
    <col min="8" max="17" width="12.140625" style="22" customWidth="1"/>
    <col min="18" max="18" width="9.7109375" style="22" bestFit="1" customWidth="1"/>
    <col min="19" max="16384" width="9.140625" style="23"/>
  </cols>
  <sheetData>
    <row r="1" spans="1:18" ht="24" customHeight="1" x14ac:dyDescent="0.25">
      <c r="A1" s="339" t="s">
        <v>858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21" customFormat="1" ht="55.5" customHeight="1" x14ac:dyDescent="0.25">
      <c r="A2" s="50" t="s">
        <v>705</v>
      </c>
      <c r="B2" s="50" t="s">
        <v>18</v>
      </c>
      <c r="C2" s="50" t="s">
        <v>17</v>
      </c>
      <c r="D2" s="50" t="s">
        <v>486</v>
      </c>
      <c r="E2" s="50" t="s">
        <v>486</v>
      </c>
      <c r="F2" s="50" t="s">
        <v>988</v>
      </c>
      <c r="G2" s="51" t="s">
        <v>836</v>
      </c>
      <c r="H2" s="51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2" t="s">
        <v>12</v>
      </c>
      <c r="R2" s="26"/>
    </row>
    <row r="3" spans="1:18" s="21" customFormat="1" ht="16.5" customHeight="1" x14ac:dyDescent="0.25">
      <c r="A3" s="50"/>
      <c r="B3" s="50"/>
      <c r="C3" s="50"/>
      <c r="D3" s="50"/>
      <c r="E3" s="50"/>
      <c r="F3" s="50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26"/>
    </row>
    <row r="4" spans="1:18" ht="47.25" customHeight="1" x14ac:dyDescent="0.25">
      <c r="A4" s="68" t="s">
        <v>636</v>
      </c>
      <c r="B4" s="68" t="s">
        <v>760</v>
      </c>
      <c r="C4" s="68">
        <v>195</v>
      </c>
      <c r="D4" s="16" t="s">
        <v>549</v>
      </c>
      <c r="E4" s="16" t="s">
        <v>464</v>
      </c>
      <c r="F4" s="11" t="s">
        <v>643</v>
      </c>
      <c r="G4" s="231">
        <f t="shared" ref="G4:G12" si="0">SUM(H4:Q4)</f>
        <v>1.5000000000000002</v>
      </c>
      <c r="H4" s="157">
        <v>0</v>
      </c>
      <c r="I4" s="13">
        <v>0.36</v>
      </c>
      <c r="J4" s="13">
        <v>0.48</v>
      </c>
      <c r="K4" s="13">
        <v>0.06</v>
      </c>
      <c r="L4" s="13">
        <v>0.06</v>
      </c>
      <c r="M4" s="13">
        <v>0.12</v>
      </c>
      <c r="N4" s="158">
        <v>0.3</v>
      </c>
      <c r="O4" s="13">
        <v>0</v>
      </c>
      <c r="P4" s="13">
        <v>0.06</v>
      </c>
      <c r="Q4" s="13">
        <v>0.06</v>
      </c>
    </row>
    <row r="5" spans="1:18" ht="47.25" customHeight="1" x14ac:dyDescent="0.25">
      <c r="A5" s="68" t="s">
        <v>636</v>
      </c>
      <c r="B5" s="68" t="s">
        <v>760</v>
      </c>
      <c r="C5" s="68">
        <v>195</v>
      </c>
      <c r="D5" s="16" t="s">
        <v>549</v>
      </c>
      <c r="E5" s="16" t="s">
        <v>464</v>
      </c>
      <c r="F5" s="11" t="s">
        <v>338</v>
      </c>
      <c r="G5" s="231">
        <f t="shared" si="0"/>
        <v>3</v>
      </c>
      <c r="H5" s="157">
        <v>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8" ht="47.25" customHeight="1" x14ac:dyDescent="0.25">
      <c r="A6" s="68" t="s">
        <v>636</v>
      </c>
      <c r="B6" s="68" t="s">
        <v>760</v>
      </c>
      <c r="C6" s="68">
        <v>195</v>
      </c>
      <c r="D6" s="16" t="s">
        <v>549</v>
      </c>
      <c r="E6" s="16" t="s">
        <v>464</v>
      </c>
      <c r="F6" s="11" t="s">
        <v>339</v>
      </c>
      <c r="G6" s="231">
        <f t="shared" si="0"/>
        <v>15.3</v>
      </c>
      <c r="H6" s="157">
        <v>0</v>
      </c>
      <c r="I6" s="58">
        <v>2</v>
      </c>
      <c r="J6" s="58">
        <v>1.8</v>
      </c>
      <c r="K6" s="58">
        <v>1.9</v>
      </c>
      <c r="L6" s="58">
        <v>1.4</v>
      </c>
      <c r="M6" s="58">
        <v>1.4</v>
      </c>
      <c r="N6" s="58">
        <v>2</v>
      </c>
      <c r="O6" s="58">
        <v>2</v>
      </c>
      <c r="P6" s="58">
        <v>1.4</v>
      </c>
      <c r="Q6" s="58">
        <v>1.4</v>
      </c>
    </row>
    <row r="7" spans="1:18" ht="47.25" customHeight="1" x14ac:dyDescent="0.25">
      <c r="A7" s="68" t="s">
        <v>636</v>
      </c>
      <c r="B7" s="68" t="s">
        <v>760</v>
      </c>
      <c r="C7" s="68">
        <v>195</v>
      </c>
      <c r="D7" s="16" t="s">
        <v>549</v>
      </c>
      <c r="E7" s="16" t="s">
        <v>464</v>
      </c>
      <c r="F7" s="11" t="s">
        <v>340</v>
      </c>
      <c r="G7" s="231">
        <f t="shared" si="0"/>
        <v>20.299999999999997</v>
      </c>
      <c r="H7" s="157">
        <v>0</v>
      </c>
      <c r="I7" s="58">
        <v>2.8</v>
      </c>
      <c r="J7" s="58">
        <v>1.9</v>
      </c>
      <c r="K7" s="58">
        <v>3.5</v>
      </c>
      <c r="L7" s="58">
        <v>1.7</v>
      </c>
      <c r="M7" s="58">
        <v>1.7</v>
      </c>
      <c r="N7" s="58">
        <v>3.4</v>
      </c>
      <c r="O7" s="58">
        <v>2.4</v>
      </c>
      <c r="P7" s="58">
        <v>1.2</v>
      </c>
      <c r="Q7" s="58">
        <v>1.7</v>
      </c>
    </row>
    <row r="8" spans="1:18" ht="47.25" customHeight="1" x14ac:dyDescent="0.25">
      <c r="A8" s="68" t="s">
        <v>636</v>
      </c>
      <c r="B8" s="68" t="s">
        <v>760</v>
      </c>
      <c r="C8" s="68">
        <v>195</v>
      </c>
      <c r="D8" s="16" t="s">
        <v>549</v>
      </c>
      <c r="E8" s="16" t="s">
        <v>401</v>
      </c>
      <c r="F8" s="11" t="s">
        <v>341</v>
      </c>
      <c r="G8" s="231">
        <f t="shared" si="0"/>
        <v>3.4200000000000004</v>
      </c>
      <c r="H8" s="157">
        <v>0</v>
      </c>
      <c r="I8" s="283">
        <v>0.52</v>
      </c>
      <c r="J8" s="283">
        <v>0.35</v>
      </c>
      <c r="K8" s="283">
        <v>0.62</v>
      </c>
      <c r="L8" s="283">
        <v>0.25</v>
      </c>
      <c r="M8" s="283">
        <v>0.28000000000000003</v>
      </c>
      <c r="N8" s="283">
        <v>0.64</v>
      </c>
      <c r="O8" s="283">
        <v>0.33</v>
      </c>
      <c r="P8" s="283">
        <v>0.21</v>
      </c>
      <c r="Q8" s="283">
        <v>0.22</v>
      </c>
    </row>
    <row r="9" spans="1:18" ht="47.25" customHeight="1" x14ac:dyDescent="0.25">
      <c r="A9" s="68" t="s">
        <v>636</v>
      </c>
      <c r="B9" s="68" t="s">
        <v>760</v>
      </c>
      <c r="C9" s="68">
        <v>195</v>
      </c>
      <c r="D9" s="16" t="s">
        <v>549</v>
      </c>
      <c r="E9" s="16" t="s">
        <v>464</v>
      </c>
      <c r="F9" s="11" t="s">
        <v>342</v>
      </c>
      <c r="G9" s="231">
        <f t="shared" si="0"/>
        <v>10.129999999999999</v>
      </c>
      <c r="H9" s="157">
        <v>0</v>
      </c>
      <c r="I9" s="284">
        <v>1.69</v>
      </c>
      <c r="J9" s="284">
        <v>1</v>
      </c>
      <c r="K9" s="284">
        <v>1.65</v>
      </c>
      <c r="L9" s="284">
        <v>0.77</v>
      </c>
      <c r="M9" s="284">
        <v>0.84</v>
      </c>
      <c r="N9" s="284">
        <v>1.67</v>
      </c>
      <c r="O9" s="284">
        <v>1.01</v>
      </c>
      <c r="P9" s="284">
        <v>0.72</v>
      </c>
      <c r="Q9" s="284">
        <v>0.78</v>
      </c>
    </row>
    <row r="10" spans="1:18" ht="47.25" customHeight="1" x14ac:dyDescent="0.25">
      <c r="A10" s="68" t="s">
        <v>636</v>
      </c>
      <c r="B10" s="68" t="s">
        <v>760</v>
      </c>
      <c r="C10" s="68">
        <v>195</v>
      </c>
      <c r="D10" s="16" t="s">
        <v>549</v>
      </c>
      <c r="E10" s="16" t="s">
        <v>464</v>
      </c>
      <c r="F10" s="11" t="s">
        <v>344</v>
      </c>
      <c r="G10" s="231">
        <f t="shared" si="0"/>
        <v>14.21</v>
      </c>
      <c r="H10" s="157">
        <v>6.08</v>
      </c>
      <c r="I10" s="285">
        <v>0.73</v>
      </c>
      <c r="J10" s="285">
        <v>0.51</v>
      </c>
      <c r="K10" s="285">
        <v>0.89</v>
      </c>
      <c r="L10" s="285">
        <v>0.41</v>
      </c>
      <c r="M10" s="285">
        <v>1.29</v>
      </c>
      <c r="N10" s="285">
        <v>1.61</v>
      </c>
      <c r="O10" s="285">
        <v>1.1200000000000001</v>
      </c>
      <c r="P10" s="285">
        <v>0.91</v>
      </c>
      <c r="Q10" s="285">
        <v>0.66</v>
      </c>
    </row>
    <row r="11" spans="1:18" ht="47.25" customHeight="1" x14ac:dyDescent="0.25">
      <c r="A11" s="68" t="s">
        <v>636</v>
      </c>
      <c r="B11" s="68" t="s">
        <v>760</v>
      </c>
      <c r="C11" s="68">
        <v>195</v>
      </c>
      <c r="D11" s="16" t="s">
        <v>549</v>
      </c>
      <c r="E11" s="16" t="s">
        <v>464</v>
      </c>
      <c r="F11" s="11" t="s">
        <v>343</v>
      </c>
      <c r="G11" s="231">
        <f t="shared" si="0"/>
        <v>1.63</v>
      </c>
      <c r="H11" s="284">
        <v>0.46</v>
      </c>
      <c r="I11" s="284">
        <v>0.13</v>
      </c>
      <c r="J11" s="284">
        <v>0.13</v>
      </c>
      <c r="K11" s="284">
        <v>0.13</v>
      </c>
      <c r="L11" s="284">
        <v>0.13</v>
      </c>
      <c r="M11" s="284">
        <v>0.13</v>
      </c>
      <c r="N11" s="284">
        <v>0.13</v>
      </c>
      <c r="O11" s="284">
        <v>0.13</v>
      </c>
      <c r="P11" s="284">
        <v>0.13</v>
      </c>
      <c r="Q11" s="284">
        <v>0.13</v>
      </c>
    </row>
    <row r="12" spans="1:18" ht="47.25" customHeight="1" x14ac:dyDescent="0.25">
      <c r="A12" s="68" t="s">
        <v>636</v>
      </c>
      <c r="B12" s="68" t="s">
        <v>760</v>
      </c>
      <c r="C12" s="68">
        <v>195</v>
      </c>
      <c r="D12" s="16" t="s">
        <v>549</v>
      </c>
      <c r="E12" s="16" t="s">
        <v>464</v>
      </c>
      <c r="F12" s="11" t="s">
        <v>644</v>
      </c>
      <c r="G12" s="231">
        <f t="shared" si="0"/>
        <v>4.5</v>
      </c>
      <c r="H12" s="283">
        <v>0.72</v>
      </c>
      <c r="I12" s="283">
        <v>0.42</v>
      </c>
      <c r="J12" s="283">
        <v>0.42</v>
      </c>
      <c r="K12" s="283">
        <v>0.42</v>
      </c>
      <c r="L12" s="283">
        <v>0.42</v>
      </c>
      <c r="M12" s="283">
        <v>0.42</v>
      </c>
      <c r="N12" s="283">
        <v>0.42</v>
      </c>
      <c r="O12" s="283">
        <v>0.42</v>
      </c>
      <c r="P12" s="283">
        <v>0.42</v>
      </c>
      <c r="Q12" s="283">
        <v>0.42</v>
      </c>
    </row>
    <row r="13" spans="1:18" s="32" customFormat="1" ht="35.25" customHeight="1" x14ac:dyDescent="0.25">
      <c r="A13" s="40"/>
      <c r="B13" s="40"/>
      <c r="C13" s="40"/>
      <c r="D13" s="40"/>
      <c r="E13" s="40"/>
      <c r="F13" s="40"/>
      <c r="G13" s="41">
        <f t="shared" ref="G13:Q13" si="1">SUM(G4:G12)</f>
        <v>73.989999999999981</v>
      </c>
      <c r="H13" s="41">
        <f t="shared" si="1"/>
        <v>10.260000000000002</v>
      </c>
      <c r="I13" s="41">
        <f t="shared" si="1"/>
        <v>8.65</v>
      </c>
      <c r="J13" s="41">
        <f t="shared" si="1"/>
        <v>6.589999999999999</v>
      </c>
      <c r="K13" s="41">
        <f t="shared" si="1"/>
        <v>9.1700000000000017</v>
      </c>
      <c r="L13" s="41">
        <f t="shared" si="1"/>
        <v>5.14</v>
      </c>
      <c r="M13" s="41">
        <f t="shared" si="1"/>
        <v>6.18</v>
      </c>
      <c r="N13" s="41">
        <f t="shared" si="1"/>
        <v>10.169999999999998</v>
      </c>
      <c r="O13" s="41">
        <f t="shared" si="1"/>
        <v>7.41</v>
      </c>
      <c r="P13" s="41">
        <f t="shared" si="1"/>
        <v>5.05</v>
      </c>
      <c r="Q13" s="41">
        <f t="shared" si="1"/>
        <v>5.37</v>
      </c>
      <c r="R13" s="30"/>
    </row>
    <row r="14" spans="1:18" s="27" customFormat="1" x14ac:dyDescent="0.25">
      <c r="D14" s="28"/>
      <c r="E14" s="28"/>
      <c r="F14" s="23"/>
      <c r="G14" s="2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9" spans="19:19" x14ac:dyDescent="0.25">
      <c r="S19" s="23" t="s">
        <v>305</v>
      </c>
    </row>
  </sheetData>
  <autoFilter ref="A3:Q13" xr:uid="{00000000-0001-0000-1200-000000000000}">
    <sortState xmlns:xlrd2="http://schemas.microsoft.com/office/spreadsheetml/2017/richdata2" ref="A4:Q13">
      <sortCondition ref="C3:C13"/>
    </sortState>
  </autoFilter>
  <mergeCells count="1">
    <mergeCell ref="A1:G1"/>
  </mergeCells>
  <phoneticPr fontId="15" type="noConversion"/>
  <pageMargins left="0.25" right="0.25" top="0.75" bottom="0.75" header="0.3" footer="0.3"/>
  <pageSetup paperSize="5" scale="64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7A8A-9555-4351-838A-150ADE4E966C}">
  <sheetPr>
    <pageSetUpPr fitToPage="1"/>
  </sheetPr>
  <dimension ref="A1:G17"/>
  <sheetViews>
    <sheetView view="pageBreakPreview" zoomScale="145" zoomScaleNormal="180" zoomScaleSheetLayoutView="145" workbookViewId="0">
      <selection activeCell="J5" sqref="J5"/>
    </sheetView>
  </sheetViews>
  <sheetFormatPr defaultColWidth="10.85546875" defaultRowHeight="15" x14ac:dyDescent="0.25"/>
  <cols>
    <col min="1" max="1" width="10.85546875" style="306"/>
    <col min="2" max="2" width="29" style="130" customWidth="1"/>
    <col min="3" max="5" width="11" style="131" customWidth="1"/>
    <col min="6" max="6" width="14.140625" style="131" customWidth="1"/>
    <col min="7" max="7" width="11" style="131" customWidth="1"/>
    <col min="8" max="16384" width="10.85546875" style="130"/>
  </cols>
  <sheetData>
    <row r="1" spans="1:7" ht="23.1" customHeight="1" x14ac:dyDescent="0.25">
      <c r="A1" s="309"/>
      <c r="B1" s="319" t="s">
        <v>1020</v>
      </c>
      <c r="C1" s="319"/>
      <c r="D1" s="319"/>
      <c r="E1" s="319"/>
      <c r="F1" s="319"/>
      <c r="G1" s="319"/>
    </row>
    <row r="2" spans="1:7" s="308" customFormat="1" ht="45" x14ac:dyDescent="0.25">
      <c r="A2" s="310" t="s">
        <v>1021</v>
      </c>
      <c r="B2" s="310" t="s">
        <v>1</v>
      </c>
      <c r="C2" s="311" t="s">
        <v>950</v>
      </c>
      <c r="D2" s="311" t="s">
        <v>1035</v>
      </c>
      <c r="E2" s="311" t="s">
        <v>1036</v>
      </c>
      <c r="F2" s="311" t="s">
        <v>1037</v>
      </c>
      <c r="G2" s="311" t="s">
        <v>836</v>
      </c>
    </row>
    <row r="3" spans="1:7" s="308" customFormat="1" x14ac:dyDescent="0.25">
      <c r="A3" s="310"/>
      <c r="B3" s="320" t="s">
        <v>794</v>
      </c>
      <c r="C3" s="320"/>
      <c r="D3" s="320"/>
      <c r="E3" s="320"/>
      <c r="F3" s="320"/>
      <c r="G3" s="320"/>
    </row>
    <row r="4" spans="1:7" ht="120" x14ac:dyDescent="0.25">
      <c r="A4" s="305" t="s">
        <v>1022</v>
      </c>
      <c r="B4" s="101" t="s">
        <v>1019</v>
      </c>
      <c r="C4" s="9">
        <v>102.77</v>
      </c>
      <c r="D4" s="325">
        <f>'State &amp; Dist ROP Final'!D53</f>
        <v>15.015979999999999</v>
      </c>
      <c r="E4" s="325">
        <f>'State &amp; Dist ROP Final'!D54</f>
        <v>80.45154768466</v>
      </c>
      <c r="F4" s="325">
        <f>'State &amp; Dist ROP Final'!D56</f>
        <v>90.86359614000007</v>
      </c>
      <c r="G4" s="328">
        <f>D4+E4+F4</f>
        <v>186.33112382466007</v>
      </c>
    </row>
    <row r="5" spans="1:7" x14ac:dyDescent="0.25">
      <c r="A5" s="305" t="s">
        <v>1023</v>
      </c>
      <c r="B5" s="101" t="s">
        <v>1024</v>
      </c>
      <c r="C5" s="9">
        <v>92.52</v>
      </c>
      <c r="D5" s="326"/>
      <c r="E5" s="326"/>
      <c r="F5" s="326"/>
      <c r="G5" s="329"/>
    </row>
    <row r="6" spans="1:7" x14ac:dyDescent="0.25">
      <c r="A6" s="331" t="s">
        <v>1025</v>
      </c>
      <c r="B6" s="101" t="s">
        <v>1026</v>
      </c>
      <c r="C6" s="9">
        <v>10.26</v>
      </c>
      <c r="D6" s="326"/>
      <c r="E6" s="326"/>
      <c r="F6" s="326"/>
      <c r="G6" s="329"/>
    </row>
    <row r="7" spans="1:7" ht="15" customHeight="1" x14ac:dyDescent="0.25">
      <c r="A7" s="332"/>
      <c r="B7" s="101" t="s">
        <v>1027</v>
      </c>
      <c r="C7" s="129">
        <v>2.09</v>
      </c>
      <c r="D7" s="326"/>
      <c r="E7" s="326"/>
      <c r="F7" s="326"/>
      <c r="G7" s="329"/>
    </row>
    <row r="8" spans="1:7" ht="15" customHeight="1" x14ac:dyDescent="0.25">
      <c r="A8" s="332"/>
      <c r="B8" s="101" t="s">
        <v>1028</v>
      </c>
      <c r="C8" s="129">
        <v>2.5499999999999998</v>
      </c>
      <c r="D8" s="326"/>
      <c r="E8" s="326"/>
      <c r="F8" s="326"/>
      <c r="G8" s="329"/>
    </row>
    <row r="9" spans="1:7" x14ac:dyDescent="0.25">
      <c r="A9" s="332"/>
      <c r="B9" s="101" t="s">
        <v>1029</v>
      </c>
      <c r="C9" s="129">
        <v>5.47</v>
      </c>
      <c r="D9" s="326"/>
      <c r="E9" s="326"/>
      <c r="F9" s="326"/>
      <c r="G9" s="329"/>
    </row>
    <row r="10" spans="1:7" x14ac:dyDescent="0.25">
      <c r="A10" s="333"/>
      <c r="B10" s="101" t="s">
        <v>1030</v>
      </c>
      <c r="C10" s="129">
        <v>0.15</v>
      </c>
      <c r="D10" s="327"/>
      <c r="E10" s="327"/>
      <c r="F10" s="327"/>
      <c r="G10" s="330"/>
    </row>
    <row r="11" spans="1:7" ht="45" x14ac:dyDescent="0.25">
      <c r="A11" s="305" t="s">
        <v>1032</v>
      </c>
      <c r="B11" s="101" t="s">
        <v>1031</v>
      </c>
      <c r="C11" s="9">
        <v>34.68</v>
      </c>
      <c r="D11" s="129"/>
      <c r="E11" s="129"/>
      <c r="F11" s="129"/>
      <c r="G11" s="9">
        <f>C11</f>
        <v>34.68</v>
      </c>
    </row>
    <row r="12" spans="1:7" x14ac:dyDescent="0.25">
      <c r="A12" s="307" t="s">
        <v>1033</v>
      </c>
      <c r="B12" s="312" t="s">
        <v>20</v>
      </c>
      <c r="C12" s="9">
        <f>C4+C11</f>
        <v>137.44999999999999</v>
      </c>
      <c r="D12" s="9">
        <f>SUM(D4:D11)</f>
        <v>15.015979999999999</v>
      </c>
      <c r="E12" s="9">
        <f>SUM(E4:E11)</f>
        <v>80.45154768466</v>
      </c>
      <c r="F12" s="9">
        <f>SUM(F4:F11)</f>
        <v>90.86359614000007</v>
      </c>
      <c r="G12" s="9">
        <f>SUM(G4:G11)</f>
        <v>221.01112382466007</v>
      </c>
    </row>
    <row r="13" spans="1:7" ht="30.95" customHeight="1" x14ac:dyDescent="0.25">
      <c r="A13" s="305" t="s">
        <v>1034</v>
      </c>
      <c r="B13" s="128" t="s">
        <v>799</v>
      </c>
      <c r="C13" s="129">
        <v>15.27</v>
      </c>
      <c r="D13" s="129"/>
      <c r="E13" s="129"/>
      <c r="F13" s="129"/>
      <c r="G13" s="9">
        <f>C13</f>
        <v>15.27</v>
      </c>
    </row>
    <row r="14" spans="1:7" ht="30.95" customHeight="1" x14ac:dyDescent="0.25">
      <c r="A14" s="323" t="s">
        <v>325</v>
      </c>
      <c r="B14" s="324"/>
      <c r="C14" s="9">
        <f>C12+C13</f>
        <v>152.72</v>
      </c>
      <c r="D14" s="9"/>
      <c r="E14" s="9"/>
      <c r="F14" s="9"/>
      <c r="G14" s="9">
        <f>SUM(G12:G13)</f>
        <v>236.28112382466009</v>
      </c>
    </row>
    <row r="15" spans="1:7" ht="30.95" customHeight="1" x14ac:dyDescent="0.25">
      <c r="E15" s="321" t="s">
        <v>820</v>
      </c>
      <c r="F15" s="321"/>
      <c r="G15" s="304">
        <f>G14-G11</f>
        <v>201.60112382466008</v>
      </c>
    </row>
    <row r="16" spans="1:7" ht="30.95" customHeight="1" x14ac:dyDescent="0.25">
      <c r="E16" s="322" t="s">
        <v>821</v>
      </c>
      <c r="F16" s="322"/>
      <c r="G16" s="9">
        <f>G14-G13</f>
        <v>221.01112382466007</v>
      </c>
    </row>
    <row r="17" spans="5:7" ht="30.95" customHeight="1" x14ac:dyDescent="0.25">
      <c r="E17" s="322" t="s">
        <v>1040</v>
      </c>
      <c r="F17" s="322"/>
      <c r="G17" s="9">
        <f>G14-G11-G13</f>
        <v>186.33112382466007</v>
      </c>
    </row>
  </sheetData>
  <sheetProtection selectLockedCells="1" selectUnlockedCells="1"/>
  <mergeCells count="11">
    <mergeCell ref="B1:G1"/>
    <mergeCell ref="B3:G3"/>
    <mergeCell ref="E15:F15"/>
    <mergeCell ref="E16:F16"/>
    <mergeCell ref="E17:F17"/>
    <mergeCell ref="A14:B14"/>
    <mergeCell ref="D4:D10"/>
    <mergeCell ref="E4:E10"/>
    <mergeCell ref="F4:F10"/>
    <mergeCell ref="G4:G10"/>
    <mergeCell ref="A6:A10"/>
  </mergeCells>
  <pageMargins left="0.7" right="0.7" top="0.75" bottom="0.75" header="0.3" footer="0.3"/>
  <pageSetup paperSize="9" scale="89" orientation="portrait" copies="4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S6"/>
  <sheetViews>
    <sheetView view="pageBreakPreview" topLeftCell="C1" zoomScale="110" zoomScaleNormal="100" zoomScaleSheetLayoutView="140" workbookViewId="0">
      <selection activeCell="H3" sqref="H3:Q3"/>
    </sheetView>
  </sheetViews>
  <sheetFormatPr defaultColWidth="9.140625" defaultRowHeight="15" x14ac:dyDescent="0.25"/>
  <cols>
    <col min="1" max="1" width="11.7109375" style="28" customWidth="1"/>
    <col min="2" max="2" width="30.28515625" style="28" customWidth="1"/>
    <col min="3" max="3" width="8.28515625" style="27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26" customWidth="1"/>
    <col min="8" max="17" width="12.140625" style="33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932</v>
      </c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5" customFormat="1" ht="60" x14ac:dyDescent="0.25">
      <c r="A3" s="1" t="s">
        <v>764</v>
      </c>
      <c r="B3" s="1" t="s">
        <v>765</v>
      </c>
      <c r="C3" s="15">
        <v>184</v>
      </c>
      <c r="D3" s="1" t="s">
        <v>551</v>
      </c>
      <c r="E3" s="1" t="s">
        <v>371</v>
      </c>
      <c r="F3" s="180" t="s">
        <v>347</v>
      </c>
      <c r="G3" s="240">
        <f>SUM(H3:Q3)</f>
        <v>886.08000000000015</v>
      </c>
      <c r="H3" s="156">
        <v>0</v>
      </c>
      <c r="I3" s="156">
        <v>98.48</v>
      </c>
      <c r="J3" s="156">
        <v>98.45</v>
      </c>
      <c r="K3" s="156">
        <v>98.45</v>
      </c>
      <c r="L3" s="156">
        <v>98.45</v>
      </c>
      <c r="M3" s="156">
        <v>98.45</v>
      </c>
      <c r="N3" s="156">
        <v>98.45</v>
      </c>
      <c r="O3" s="156">
        <v>98.45</v>
      </c>
      <c r="P3" s="156">
        <v>98.45</v>
      </c>
      <c r="Q3" s="156">
        <v>98.45</v>
      </c>
      <c r="R3" s="4"/>
      <c r="S3" s="4"/>
    </row>
    <row r="4" spans="1:19" s="32" customFormat="1" ht="30" customHeight="1" x14ac:dyDescent="0.25">
      <c r="A4" s="31"/>
      <c r="B4" s="31"/>
      <c r="C4" s="31"/>
      <c r="D4" s="31"/>
      <c r="E4" s="31"/>
      <c r="F4" s="31" t="s">
        <v>15</v>
      </c>
      <c r="G4" s="29">
        <f t="shared" ref="G4:Q4" si="0">SUM(G3:G3)</f>
        <v>886.08000000000015</v>
      </c>
      <c r="H4" s="29">
        <f t="shared" si="0"/>
        <v>0</v>
      </c>
      <c r="I4" s="29">
        <f t="shared" si="0"/>
        <v>98.48</v>
      </c>
      <c r="J4" s="29">
        <f t="shared" si="0"/>
        <v>98.45</v>
      </c>
      <c r="K4" s="29">
        <f t="shared" si="0"/>
        <v>98.45</v>
      </c>
      <c r="L4" s="29">
        <f t="shared" si="0"/>
        <v>98.45</v>
      </c>
      <c r="M4" s="29">
        <f t="shared" si="0"/>
        <v>98.45</v>
      </c>
      <c r="N4" s="29">
        <f t="shared" si="0"/>
        <v>98.45</v>
      </c>
      <c r="O4" s="29">
        <f t="shared" si="0"/>
        <v>98.45</v>
      </c>
      <c r="P4" s="29">
        <f t="shared" si="0"/>
        <v>98.45</v>
      </c>
      <c r="Q4" s="29">
        <f t="shared" si="0"/>
        <v>98.45</v>
      </c>
      <c r="R4" s="22"/>
      <c r="S4" s="12"/>
    </row>
    <row r="5" spans="1:19" s="27" customFormat="1" x14ac:dyDescent="0.25">
      <c r="A5" s="28"/>
      <c r="B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27" customFormat="1" x14ac:dyDescent="0.25">
      <c r="A6" s="28"/>
      <c r="B6" s="28"/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</sheetData>
  <mergeCells count="1">
    <mergeCell ref="A1:G1"/>
  </mergeCells>
  <pageMargins left="0.7" right="0.7" top="0.75" bottom="0.75" header="0.3" footer="0.3"/>
  <pageSetup paperSize="5" scale="57" fitToHeight="3" orientation="landscape" horizont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4A3A-6AA4-4846-B251-5CE746F75F22}">
  <sheetPr>
    <tabColor rgb="FFFF0000"/>
    <pageSetUpPr fitToPage="1"/>
  </sheetPr>
  <dimension ref="A1:S6"/>
  <sheetViews>
    <sheetView view="pageBreakPreview" topLeftCell="C1" zoomScale="110" zoomScaleNormal="100" zoomScaleSheetLayoutView="140" workbookViewId="0">
      <selection activeCell="H3" sqref="H3:Q3"/>
    </sheetView>
  </sheetViews>
  <sheetFormatPr defaultColWidth="9.140625" defaultRowHeight="15" x14ac:dyDescent="0.25"/>
  <cols>
    <col min="1" max="1" width="11.7109375" style="28" customWidth="1"/>
    <col min="2" max="2" width="30.28515625" style="28" customWidth="1"/>
    <col min="3" max="3" width="8.28515625" style="27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933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5" customFormat="1" ht="30" x14ac:dyDescent="0.25">
      <c r="A3" s="1" t="s">
        <v>731</v>
      </c>
      <c r="B3" s="1" t="s">
        <v>729</v>
      </c>
      <c r="C3" s="15">
        <v>180</v>
      </c>
      <c r="D3" s="1" t="s">
        <v>552</v>
      </c>
      <c r="E3" s="1" t="s">
        <v>463</v>
      </c>
      <c r="F3" s="180" t="s">
        <v>348</v>
      </c>
      <c r="G3" s="107">
        <f>SUM(H3:Q3)</f>
        <v>358.38</v>
      </c>
      <c r="H3" s="100">
        <v>0</v>
      </c>
      <c r="I3" s="100">
        <v>61.55</v>
      </c>
      <c r="J3" s="100">
        <v>43.25</v>
      </c>
      <c r="K3" s="100">
        <v>50.52</v>
      </c>
      <c r="L3" s="100">
        <v>25.47</v>
      </c>
      <c r="M3" s="100">
        <v>30.96</v>
      </c>
      <c r="N3" s="100">
        <v>62.49</v>
      </c>
      <c r="O3" s="100">
        <v>35.07</v>
      </c>
      <c r="P3" s="100">
        <v>21.65</v>
      </c>
      <c r="Q3" s="100">
        <v>27.42</v>
      </c>
      <c r="R3" s="4"/>
      <c r="S3" s="4"/>
    </row>
    <row r="4" spans="1:19" s="32" customFormat="1" ht="30" customHeight="1" x14ac:dyDescent="0.25">
      <c r="A4" s="31"/>
      <c r="B4" s="31"/>
      <c r="C4" s="31"/>
      <c r="D4" s="31"/>
      <c r="E4" s="31"/>
      <c r="F4" s="31" t="s">
        <v>15</v>
      </c>
      <c r="G4" s="12">
        <f t="shared" ref="G4:Q4" si="0">SUM(G3:G3)</f>
        <v>358.38</v>
      </c>
      <c r="H4" s="12">
        <f t="shared" si="0"/>
        <v>0</v>
      </c>
      <c r="I4" s="12">
        <f t="shared" si="0"/>
        <v>61.55</v>
      </c>
      <c r="J4" s="12">
        <f t="shared" si="0"/>
        <v>43.25</v>
      </c>
      <c r="K4" s="12">
        <f t="shared" si="0"/>
        <v>50.52</v>
      </c>
      <c r="L4" s="12">
        <f t="shared" si="0"/>
        <v>25.47</v>
      </c>
      <c r="M4" s="12">
        <f t="shared" si="0"/>
        <v>30.96</v>
      </c>
      <c r="N4" s="12">
        <f t="shared" si="0"/>
        <v>62.49</v>
      </c>
      <c r="O4" s="12">
        <f t="shared" si="0"/>
        <v>35.07</v>
      </c>
      <c r="P4" s="12">
        <f t="shared" si="0"/>
        <v>21.65</v>
      </c>
      <c r="Q4" s="12">
        <f t="shared" si="0"/>
        <v>27.42</v>
      </c>
      <c r="R4" s="22"/>
      <c r="S4" s="12"/>
    </row>
    <row r="5" spans="1:19" s="27" customFormat="1" x14ac:dyDescent="0.25">
      <c r="A5" s="28"/>
      <c r="B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27" customFormat="1" x14ac:dyDescent="0.25">
      <c r="A6" s="28"/>
      <c r="B6" s="28"/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</sheetData>
  <mergeCells count="1">
    <mergeCell ref="A1:G1"/>
  </mergeCells>
  <pageMargins left="0.7" right="0.7" top="0.75" bottom="0.75" header="0.3" footer="0.3"/>
  <pageSetup paperSize="5" scale="57" fitToHeight="3" orientation="landscape" horizont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6E9D-EE64-41FC-A0AB-2A70FF16C8A5}">
  <sheetPr>
    <tabColor rgb="FFFF0000"/>
    <pageSetUpPr fitToPage="1"/>
  </sheetPr>
  <dimension ref="A1:S6"/>
  <sheetViews>
    <sheetView view="pageBreakPreview" topLeftCell="D1" zoomScale="110" zoomScaleNormal="100" zoomScaleSheetLayoutView="140" workbookViewId="0">
      <selection activeCell="H3" sqref="H3:Q3"/>
    </sheetView>
  </sheetViews>
  <sheetFormatPr defaultColWidth="9.140625" defaultRowHeight="15" x14ac:dyDescent="0.25"/>
  <cols>
    <col min="1" max="1" width="11.7109375" style="28" customWidth="1"/>
    <col min="2" max="2" width="30.28515625" style="28" customWidth="1"/>
    <col min="3" max="3" width="8.28515625" style="27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931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5" customFormat="1" ht="30" x14ac:dyDescent="0.25">
      <c r="A3" s="1" t="s">
        <v>731</v>
      </c>
      <c r="B3" s="1" t="s">
        <v>729</v>
      </c>
      <c r="C3" s="15">
        <v>181</v>
      </c>
      <c r="D3" s="1" t="s">
        <v>553</v>
      </c>
      <c r="E3" s="1" t="s">
        <v>372</v>
      </c>
      <c r="F3" s="180" t="s">
        <v>349</v>
      </c>
      <c r="G3" s="107">
        <f>SUM(H3:Q3)</f>
        <v>221.83999999999997</v>
      </c>
      <c r="H3" s="100">
        <v>0</v>
      </c>
      <c r="I3" s="100">
        <v>35</v>
      </c>
      <c r="J3" s="100">
        <v>35</v>
      </c>
      <c r="K3" s="100">
        <v>28</v>
      </c>
      <c r="L3" s="100">
        <v>18.399999999999999</v>
      </c>
      <c r="M3" s="100">
        <v>19</v>
      </c>
      <c r="N3" s="100">
        <v>32</v>
      </c>
      <c r="O3" s="100">
        <v>18.04</v>
      </c>
      <c r="P3" s="100">
        <v>18.2</v>
      </c>
      <c r="Q3" s="100">
        <v>18.2</v>
      </c>
      <c r="R3" s="4"/>
      <c r="S3" s="4"/>
    </row>
    <row r="4" spans="1:19" s="32" customFormat="1" ht="30" customHeight="1" x14ac:dyDescent="0.25">
      <c r="A4" s="31"/>
      <c r="B4" s="31"/>
      <c r="C4" s="31"/>
      <c r="D4" s="31"/>
      <c r="E4" s="31"/>
      <c r="F4" s="31" t="s">
        <v>15</v>
      </c>
      <c r="G4" s="12">
        <f t="shared" ref="G4:Q4" si="0">SUM(G3:G3)</f>
        <v>221.83999999999997</v>
      </c>
      <c r="H4" s="12">
        <f t="shared" si="0"/>
        <v>0</v>
      </c>
      <c r="I4" s="12">
        <f t="shared" si="0"/>
        <v>35</v>
      </c>
      <c r="J4" s="12">
        <f t="shared" si="0"/>
        <v>35</v>
      </c>
      <c r="K4" s="12">
        <f t="shared" si="0"/>
        <v>28</v>
      </c>
      <c r="L4" s="12">
        <f t="shared" si="0"/>
        <v>18.399999999999999</v>
      </c>
      <c r="M4" s="12">
        <f t="shared" si="0"/>
        <v>19</v>
      </c>
      <c r="N4" s="12">
        <f t="shared" si="0"/>
        <v>32</v>
      </c>
      <c r="O4" s="12">
        <f t="shared" si="0"/>
        <v>18.04</v>
      </c>
      <c r="P4" s="12">
        <f t="shared" si="0"/>
        <v>18.2</v>
      </c>
      <c r="Q4" s="12">
        <f t="shared" si="0"/>
        <v>18.2</v>
      </c>
      <c r="R4" s="22"/>
      <c r="S4" s="12"/>
    </row>
    <row r="5" spans="1:19" s="27" customFormat="1" x14ac:dyDescent="0.25">
      <c r="A5" s="28"/>
      <c r="B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27" customFormat="1" x14ac:dyDescent="0.25">
      <c r="A6" s="28"/>
      <c r="B6" s="28"/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</sheetData>
  <mergeCells count="1">
    <mergeCell ref="A1:G1"/>
  </mergeCells>
  <pageMargins left="0.7" right="0.7" top="0.75" bottom="0.75" header="0.3" footer="0.3"/>
  <pageSetup paperSize="5" scale="57" fitToHeight="3" orientation="landscape" horizont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57BB-4A00-4FC2-9D46-2AF580D3DB1F}">
  <sheetPr>
    <tabColor rgb="FFFF0000"/>
    <pageSetUpPr fitToPage="1"/>
  </sheetPr>
  <dimension ref="A1:S6"/>
  <sheetViews>
    <sheetView view="pageBreakPreview" topLeftCell="C1" zoomScale="110" zoomScaleNormal="100" zoomScaleSheetLayoutView="140" workbookViewId="0">
      <selection activeCell="I11" sqref="I11"/>
    </sheetView>
  </sheetViews>
  <sheetFormatPr defaultColWidth="9.140625" defaultRowHeight="15" x14ac:dyDescent="0.25"/>
  <cols>
    <col min="1" max="1" width="11.7109375" style="28" customWidth="1"/>
    <col min="2" max="2" width="30.28515625" style="28" customWidth="1"/>
    <col min="3" max="3" width="8.28515625" style="27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930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30" x14ac:dyDescent="0.25">
      <c r="A3" s="11" t="s">
        <v>636</v>
      </c>
      <c r="B3" s="11" t="s">
        <v>637</v>
      </c>
      <c r="C3" s="7">
        <v>196</v>
      </c>
      <c r="D3" s="11" t="s">
        <v>554</v>
      </c>
      <c r="E3" s="11" t="s">
        <v>371</v>
      </c>
      <c r="F3" s="10" t="s">
        <v>468</v>
      </c>
      <c r="G3" s="237">
        <f>SUM(H3:Q3)</f>
        <v>46.18</v>
      </c>
      <c r="H3" s="159">
        <v>46.18</v>
      </c>
      <c r="I3" s="100">
        <v>0</v>
      </c>
      <c r="J3" s="100">
        <v>0</v>
      </c>
      <c r="K3" s="100">
        <v>0</v>
      </c>
      <c r="L3" s="100">
        <v>0</v>
      </c>
      <c r="M3" s="100">
        <v>0</v>
      </c>
      <c r="N3" s="100">
        <v>0</v>
      </c>
      <c r="O3" s="100">
        <v>0</v>
      </c>
      <c r="P3" s="100">
        <v>0</v>
      </c>
      <c r="Q3" s="100">
        <v>0</v>
      </c>
    </row>
    <row r="4" spans="1:19" s="32" customFormat="1" ht="30" customHeight="1" x14ac:dyDescent="0.25">
      <c r="A4" s="31"/>
      <c r="B4" s="31"/>
      <c r="C4" s="31"/>
      <c r="D4" s="31"/>
      <c r="E4" s="31"/>
      <c r="F4" s="31" t="s">
        <v>15</v>
      </c>
      <c r="G4" s="12">
        <f t="shared" ref="G4:Q4" si="0">SUM(G3:G3)</f>
        <v>46.18</v>
      </c>
      <c r="H4" s="12">
        <f t="shared" si="0"/>
        <v>46.18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22"/>
      <c r="S4" s="12"/>
    </row>
    <row r="5" spans="1:19" s="27" customFormat="1" x14ac:dyDescent="0.25">
      <c r="A5" s="28"/>
      <c r="B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27" customFormat="1" x14ac:dyDescent="0.25">
      <c r="A6" s="28"/>
      <c r="B6" s="28"/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</sheetData>
  <mergeCells count="1">
    <mergeCell ref="A1:G1"/>
  </mergeCells>
  <pageMargins left="0.7" right="0.7" top="0.75" bottom="0.75" header="0.3" footer="0.3"/>
  <pageSetup paperSize="5" scale="57" fitToHeight="3" orientation="landscape" horizont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E2FA-D66F-4A75-97A2-F0A78556BCFA}">
  <sheetPr>
    <tabColor rgb="FFFF0000"/>
    <pageSetUpPr fitToPage="1"/>
  </sheetPr>
  <dimension ref="A1:S8"/>
  <sheetViews>
    <sheetView view="pageBreakPreview" topLeftCell="C1" zoomScale="110" zoomScaleNormal="100" zoomScaleSheetLayoutView="140" workbookViewId="0">
      <selection activeCell="F15" sqref="F15"/>
    </sheetView>
  </sheetViews>
  <sheetFormatPr defaultColWidth="9.140625" defaultRowHeight="15" x14ac:dyDescent="0.25"/>
  <cols>
    <col min="1" max="1" width="11.7109375" style="28" customWidth="1"/>
    <col min="2" max="2" width="30.28515625" style="28" customWidth="1"/>
    <col min="3" max="3" width="8.28515625" style="27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8" width="12.140625" style="33" customWidth="1"/>
    <col min="9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984</v>
      </c>
      <c r="B1" s="338"/>
      <c r="C1" s="338"/>
      <c r="D1" s="338"/>
      <c r="E1" s="338"/>
      <c r="F1" s="338"/>
      <c r="G1" s="338"/>
      <c r="H1" s="152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14" t="s">
        <v>487</v>
      </c>
      <c r="F2" s="14" t="s">
        <v>988</v>
      </c>
      <c r="G2" s="29" t="s">
        <v>836</v>
      </c>
      <c r="H2" s="29" t="s">
        <v>3</v>
      </c>
      <c r="I2" s="29" t="s">
        <v>4</v>
      </c>
      <c r="J2" s="29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x14ac:dyDescent="0.2">
      <c r="A3" s="11" t="s">
        <v>979</v>
      </c>
      <c r="B3" s="11" t="s">
        <v>980</v>
      </c>
      <c r="C3" s="7">
        <v>200</v>
      </c>
      <c r="D3" s="11" t="s">
        <v>980</v>
      </c>
      <c r="E3" s="11" t="s">
        <v>400</v>
      </c>
      <c r="F3" s="10" t="s">
        <v>981</v>
      </c>
      <c r="G3" s="237">
        <f>SUM(H3:Q3)</f>
        <v>5</v>
      </c>
      <c r="H3" s="291">
        <v>5</v>
      </c>
      <c r="I3" s="101">
        <v>0</v>
      </c>
      <c r="J3" s="101">
        <v>0</v>
      </c>
      <c r="K3" s="101">
        <v>0</v>
      </c>
      <c r="L3" s="101">
        <v>0</v>
      </c>
      <c r="M3" s="101">
        <v>0</v>
      </c>
      <c r="N3" s="101">
        <v>0</v>
      </c>
      <c r="O3" s="101">
        <v>0</v>
      </c>
      <c r="P3" s="101">
        <v>0</v>
      </c>
      <c r="Q3" s="101">
        <v>0</v>
      </c>
    </row>
    <row r="4" spans="1:19" ht="30" x14ac:dyDescent="0.2">
      <c r="A4" s="11" t="s">
        <v>979</v>
      </c>
      <c r="B4" s="11" t="s">
        <v>980</v>
      </c>
      <c r="C4" s="7">
        <v>200</v>
      </c>
      <c r="D4" s="11" t="s">
        <v>980</v>
      </c>
      <c r="E4" s="11" t="s">
        <v>371</v>
      </c>
      <c r="F4" s="10" t="s">
        <v>982</v>
      </c>
      <c r="G4" s="237">
        <f t="shared" ref="G4:G5" si="0">SUM(H4:Q4)</f>
        <v>0</v>
      </c>
      <c r="H4" s="291">
        <v>0</v>
      </c>
      <c r="I4" s="101">
        <v>0</v>
      </c>
      <c r="J4" s="101">
        <v>0</v>
      </c>
      <c r="K4" s="101">
        <v>0</v>
      </c>
      <c r="L4" s="101">
        <v>0</v>
      </c>
      <c r="M4" s="101">
        <v>0</v>
      </c>
      <c r="N4" s="101">
        <v>0</v>
      </c>
      <c r="O4" s="101">
        <v>0</v>
      </c>
      <c r="P4" s="101">
        <v>0</v>
      </c>
      <c r="Q4" s="101">
        <v>0</v>
      </c>
    </row>
    <row r="5" spans="1:19" ht="30" x14ac:dyDescent="0.2">
      <c r="A5" s="11" t="s">
        <v>979</v>
      </c>
      <c r="B5" s="11" t="s">
        <v>980</v>
      </c>
      <c r="C5" s="7">
        <v>200</v>
      </c>
      <c r="D5" s="11" t="s">
        <v>980</v>
      </c>
      <c r="E5" s="11" t="s">
        <v>416</v>
      </c>
      <c r="F5" s="10" t="s">
        <v>983</v>
      </c>
      <c r="G5" s="237">
        <f t="shared" si="0"/>
        <v>3.8000000000000016</v>
      </c>
      <c r="H5" s="291">
        <v>2</v>
      </c>
      <c r="I5" s="101">
        <v>0.2</v>
      </c>
      <c r="J5" s="101">
        <v>0.2</v>
      </c>
      <c r="K5" s="101">
        <v>0.2</v>
      </c>
      <c r="L5" s="101">
        <v>0.2</v>
      </c>
      <c r="M5" s="101">
        <v>0.2</v>
      </c>
      <c r="N5" s="101">
        <v>0.2</v>
      </c>
      <c r="O5" s="101">
        <v>0.2</v>
      </c>
      <c r="P5" s="101">
        <v>0.2</v>
      </c>
      <c r="Q5" s="101">
        <v>0.2</v>
      </c>
    </row>
    <row r="6" spans="1:19" s="32" customFormat="1" ht="30" customHeight="1" x14ac:dyDescent="0.25">
      <c r="A6" s="31"/>
      <c r="B6" s="31"/>
      <c r="C6" s="31"/>
      <c r="D6" s="31"/>
      <c r="E6" s="31"/>
      <c r="F6" s="31" t="s">
        <v>15</v>
      </c>
      <c r="G6" s="12">
        <f>SUM(G3:G5)</f>
        <v>8.8000000000000007</v>
      </c>
      <c r="H6" s="29">
        <f t="shared" ref="H6:Q6" si="1">SUM(H3:H5)</f>
        <v>7</v>
      </c>
      <c r="I6" s="12">
        <f t="shared" si="1"/>
        <v>0.2</v>
      </c>
      <c r="J6" s="12">
        <f t="shared" si="1"/>
        <v>0.2</v>
      </c>
      <c r="K6" s="12">
        <f t="shared" si="1"/>
        <v>0.2</v>
      </c>
      <c r="L6" s="12">
        <f t="shared" si="1"/>
        <v>0.2</v>
      </c>
      <c r="M6" s="12">
        <f t="shared" si="1"/>
        <v>0.2</v>
      </c>
      <c r="N6" s="12">
        <f t="shared" si="1"/>
        <v>0.2</v>
      </c>
      <c r="O6" s="12">
        <f t="shared" si="1"/>
        <v>0.2</v>
      </c>
      <c r="P6" s="12">
        <f t="shared" si="1"/>
        <v>0.2</v>
      </c>
      <c r="Q6" s="12">
        <f t="shared" si="1"/>
        <v>0.2</v>
      </c>
      <c r="R6" s="22"/>
      <c r="S6" s="12"/>
    </row>
    <row r="7" spans="1:19" s="27" customFormat="1" x14ac:dyDescent="0.25">
      <c r="A7" s="28"/>
      <c r="B7" s="28"/>
      <c r="D7" s="28"/>
      <c r="E7" s="28"/>
      <c r="F7" s="23"/>
      <c r="G7" s="26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s="27" customFormat="1" x14ac:dyDescent="0.25">
      <c r="A8" s="28"/>
      <c r="B8" s="28"/>
      <c r="D8" s="28"/>
      <c r="E8" s="28"/>
      <c r="F8" s="23"/>
      <c r="G8" s="26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</sheetData>
  <mergeCells count="1">
    <mergeCell ref="A1:G1"/>
  </mergeCells>
  <pageMargins left="0.7" right="0.7" top="0.75" bottom="0.75" header="0.3" footer="0.3"/>
  <pageSetup paperSize="5" scale="57" fitToHeight="3" orientation="landscape" horizontalDpi="429496729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1573-A383-448A-9F3F-44545EC21704}">
  <sheetPr>
    <tabColor rgb="FFFF0000"/>
    <pageSetUpPr fitToPage="1"/>
  </sheetPr>
  <dimension ref="A1:S11"/>
  <sheetViews>
    <sheetView view="pageBreakPreview" zoomScaleNormal="100" zoomScaleSheetLayoutView="100" workbookViewId="0">
      <pane xSplit="6" ySplit="2" topLeftCell="G3" activePane="bottomRight" state="frozen"/>
      <selection pane="topRight"/>
      <selection pane="bottomLeft"/>
      <selection pane="bottomRight" activeCell="D4" sqref="D4"/>
    </sheetView>
  </sheetViews>
  <sheetFormatPr defaultColWidth="9.140625" defaultRowHeight="15" x14ac:dyDescent="0.25"/>
  <cols>
    <col min="1" max="1" width="9" style="27" customWidth="1"/>
    <col min="2" max="2" width="29.85546875" style="27" customWidth="1"/>
    <col min="3" max="3" width="5.42578125" style="27" bestFit="1" customWidth="1"/>
    <col min="4" max="4" width="28.7109375" style="28" customWidth="1"/>
    <col min="5" max="5" width="30.42578125" style="28" bestFit="1" customWidth="1"/>
    <col min="6" max="6" width="44.85546875" style="23" customWidth="1"/>
    <col min="7" max="7" width="12.140625" style="30" customWidth="1"/>
    <col min="8" max="17" width="12.140625" style="22" customWidth="1"/>
    <col min="18" max="18" width="9.7109375" style="22" bestFit="1" customWidth="1"/>
    <col min="19" max="16384" width="9.140625" style="23"/>
  </cols>
  <sheetData>
    <row r="1" spans="1:19" ht="24" customHeight="1" x14ac:dyDescent="0.25">
      <c r="A1" s="339" t="s">
        <v>859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9" s="21" customFormat="1" ht="55.5" customHeight="1" x14ac:dyDescent="0.25">
      <c r="A2" s="50" t="s">
        <v>705</v>
      </c>
      <c r="B2" s="50" t="s">
        <v>18</v>
      </c>
      <c r="C2" s="50" t="s">
        <v>17</v>
      </c>
      <c r="D2" s="50" t="s">
        <v>486</v>
      </c>
      <c r="E2" s="50" t="s">
        <v>486</v>
      </c>
      <c r="F2" s="50" t="s">
        <v>988</v>
      </c>
      <c r="G2" s="51" t="s">
        <v>836</v>
      </c>
      <c r="H2" s="51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2" t="s">
        <v>12</v>
      </c>
      <c r="R2" s="26"/>
    </row>
    <row r="3" spans="1:19" s="21" customFormat="1" ht="16.5" customHeight="1" x14ac:dyDescent="0.25">
      <c r="A3" s="50"/>
      <c r="B3" s="50"/>
      <c r="C3" s="50"/>
      <c r="D3" s="50"/>
      <c r="E3" s="50"/>
      <c r="F3" s="50"/>
      <c r="G3" s="51"/>
      <c r="H3" s="51"/>
      <c r="I3" s="52"/>
      <c r="J3" s="52"/>
      <c r="K3" s="52"/>
      <c r="L3" s="52"/>
      <c r="M3" s="52"/>
      <c r="N3" s="52"/>
      <c r="O3" s="52"/>
      <c r="P3" s="52"/>
      <c r="Q3" s="52"/>
      <c r="R3" s="26"/>
    </row>
    <row r="4" spans="1:19" ht="31.5" x14ac:dyDescent="0.25">
      <c r="A4" s="68" t="s">
        <v>723</v>
      </c>
      <c r="B4" s="68" t="s">
        <v>724</v>
      </c>
      <c r="C4" s="68">
        <v>194</v>
      </c>
      <c r="D4" s="16" t="s">
        <v>435</v>
      </c>
      <c r="E4" s="16" t="s">
        <v>464</v>
      </c>
      <c r="F4" s="11" t="s">
        <v>845</v>
      </c>
      <c r="G4" s="220">
        <f t="shared" ref="G4" si="0">SUM(H4:Q4)</f>
        <v>28</v>
      </c>
      <c r="H4" s="157">
        <v>10</v>
      </c>
      <c r="I4" s="58">
        <v>2</v>
      </c>
      <c r="J4" s="58">
        <v>2</v>
      </c>
      <c r="K4" s="58">
        <v>2</v>
      </c>
      <c r="L4" s="58">
        <v>2</v>
      </c>
      <c r="M4" s="58">
        <v>2</v>
      </c>
      <c r="N4" s="58">
        <v>2</v>
      </c>
      <c r="O4" s="58">
        <v>2</v>
      </c>
      <c r="P4" s="58">
        <v>2</v>
      </c>
      <c r="Q4" s="58">
        <v>2</v>
      </c>
    </row>
    <row r="5" spans="1:19" s="32" customFormat="1" ht="18.600000000000001" customHeight="1" x14ac:dyDescent="0.25">
      <c r="A5" s="40"/>
      <c r="B5" s="40"/>
      <c r="C5" s="40"/>
      <c r="D5" s="46"/>
      <c r="E5" s="46"/>
      <c r="F5" s="46"/>
      <c r="G5" s="42">
        <f t="shared" ref="G5:Q5" si="1">SUM(G4:G4)</f>
        <v>28</v>
      </c>
      <c r="H5" s="42">
        <f t="shared" si="1"/>
        <v>10</v>
      </c>
      <c r="I5" s="42">
        <f t="shared" si="1"/>
        <v>2</v>
      </c>
      <c r="J5" s="42">
        <f t="shared" si="1"/>
        <v>2</v>
      </c>
      <c r="K5" s="42">
        <f t="shared" si="1"/>
        <v>2</v>
      </c>
      <c r="L5" s="42">
        <f t="shared" si="1"/>
        <v>2</v>
      </c>
      <c r="M5" s="42">
        <f t="shared" si="1"/>
        <v>2</v>
      </c>
      <c r="N5" s="42">
        <f t="shared" si="1"/>
        <v>2</v>
      </c>
      <c r="O5" s="42">
        <f t="shared" si="1"/>
        <v>2</v>
      </c>
      <c r="P5" s="42">
        <f t="shared" si="1"/>
        <v>2</v>
      </c>
      <c r="Q5" s="42">
        <f t="shared" si="1"/>
        <v>2</v>
      </c>
      <c r="R5" s="30"/>
    </row>
    <row r="6" spans="1:19" s="27" customFormat="1" x14ac:dyDescent="0.25"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11" spans="1:19" x14ac:dyDescent="0.25">
      <c r="S11" s="23" t="s">
        <v>305</v>
      </c>
    </row>
  </sheetData>
  <autoFilter ref="A3:Q5" xr:uid="{00000000-0001-0000-1200-000000000000}">
    <sortState xmlns:xlrd2="http://schemas.microsoft.com/office/spreadsheetml/2017/richdata2" ref="A4:Q5">
      <sortCondition ref="C3:C5"/>
    </sortState>
  </autoFilter>
  <mergeCells count="1">
    <mergeCell ref="A1:G1"/>
  </mergeCells>
  <pageMargins left="0.25" right="0.25" top="0.75" bottom="0.75" header="0.3" footer="0.3"/>
  <pageSetup paperSize="5" scale="61" fitToHeight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D1F3-6395-4B93-9FEF-C3ECA7C6D550}">
  <sheetPr>
    <tabColor rgb="FFFF0000"/>
    <pageSetUpPr fitToPage="1"/>
  </sheetPr>
  <dimension ref="A1:R16"/>
  <sheetViews>
    <sheetView view="pageBreakPreview" zoomScaleSheetLayoutView="100" workbookViewId="0">
      <pane ySplit="2" topLeftCell="A3" activePane="bottomLeft" state="frozen"/>
      <selection pane="bottomLeft" activeCell="G9" sqref="G9:G13"/>
    </sheetView>
  </sheetViews>
  <sheetFormatPr defaultColWidth="9.140625" defaultRowHeight="15" x14ac:dyDescent="0.25"/>
  <cols>
    <col min="1" max="1" width="9" style="27" bestFit="1" customWidth="1"/>
    <col min="2" max="2" width="19" style="28" customWidth="1"/>
    <col min="3" max="3" width="9" style="28" customWidth="1"/>
    <col min="4" max="4" width="16.42578125" style="28" customWidth="1"/>
    <col min="5" max="5" width="28.140625" style="28" bestFit="1" customWidth="1"/>
    <col min="6" max="6" width="55" style="23" customWidth="1"/>
    <col min="7" max="7" width="11.28515625" style="30" customWidth="1"/>
    <col min="8" max="17" width="8.7109375" style="22" customWidth="1"/>
    <col min="18" max="18" width="6.7109375" style="22" customWidth="1"/>
    <col min="19" max="16384" width="9.140625" style="23"/>
  </cols>
  <sheetData>
    <row r="1" spans="1:18" ht="24" customHeight="1" x14ac:dyDescent="0.25">
      <c r="A1" s="346" t="s">
        <v>860</v>
      </c>
      <c r="B1" s="346"/>
      <c r="C1" s="346"/>
      <c r="D1" s="346"/>
      <c r="E1" s="346"/>
      <c r="F1" s="346"/>
      <c r="G1" s="347"/>
      <c r="H1" s="31"/>
      <c r="I1" s="31"/>
      <c r="J1" s="31"/>
      <c r="K1" s="31"/>
      <c r="L1" s="31"/>
      <c r="M1" s="31"/>
      <c r="N1" s="31"/>
      <c r="O1" s="31"/>
      <c r="P1" s="31"/>
      <c r="Q1" s="31"/>
      <c r="R1" s="21"/>
    </row>
    <row r="2" spans="1:18" s="21" customFormat="1" ht="55.5" customHeight="1" x14ac:dyDescent="0.25">
      <c r="A2" s="14" t="s">
        <v>705</v>
      </c>
      <c r="B2" s="14" t="s">
        <v>18</v>
      </c>
      <c r="C2" s="14" t="s">
        <v>17</v>
      </c>
      <c r="D2" s="14" t="s">
        <v>486</v>
      </c>
      <c r="E2" s="14" t="s">
        <v>487</v>
      </c>
      <c r="F2" s="14" t="s">
        <v>988</v>
      </c>
      <c r="G2" s="29" t="s">
        <v>836</v>
      </c>
      <c r="H2" s="29" t="s">
        <v>3</v>
      </c>
      <c r="I2" s="29" t="s">
        <v>4</v>
      </c>
      <c r="J2" s="29" t="s">
        <v>5</v>
      </c>
      <c r="K2" s="29" t="s">
        <v>6</v>
      </c>
      <c r="L2" s="29" t="s">
        <v>7</v>
      </c>
      <c r="M2" s="29" t="s">
        <v>8</v>
      </c>
      <c r="N2" s="29" t="s">
        <v>9</v>
      </c>
      <c r="O2" s="29" t="s">
        <v>10</v>
      </c>
      <c r="P2" s="29" t="s">
        <v>11</v>
      </c>
      <c r="Q2" s="29" t="s">
        <v>12</v>
      </c>
      <c r="R2" s="26"/>
    </row>
    <row r="3" spans="1:18" s="21" customFormat="1" x14ac:dyDescent="0.25">
      <c r="A3" s="14"/>
      <c r="B3" s="14"/>
      <c r="C3" s="14"/>
      <c r="D3" s="14"/>
      <c r="E3" s="14"/>
      <c r="F3" s="1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6"/>
    </row>
    <row r="4" spans="1:18" ht="30" x14ac:dyDescent="0.25">
      <c r="A4" s="7" t="s">
        <v>733</v>
      </c>
      <c r="B4" s="11" t="s">
        <v>766</v>
      </c>
      <c r="C4" s="7">
        <v>156</v>
      </c>
      <c r="D4" s="11" t="s">
        <v>516</v>
      </c>
      <c r="E4" s="11" t="s">
        <v>514</v>
      </c>
      <c r="F4" s="17" t="s">
        <v>357</v>
      </c>
      <c r="G4" s="237">
        <f t="shared" ref="G4:G13" si="0">SUM(H4:Q4)</f>
        <v>0.43</v>
      </c>
      <c r="H4" s="2">
        <v>0.43</v>
      </c>
      <c r="I4" s="2"/>
      <c r="J4" s="2"/>
      <c r="K4" s="2"/>
      <c r="L4" s="2"/>
      <c r="M4" s="2"/>
      <c r="N4" s="2"/>
      <c r="O4" s="2"/>
      <c r="P4" s="2"/>
      <c r="Q4" s="2"/>
    </row>
    <row r="5" spans="1:18" ht="33" customHeight="1" x14ac:dyDescent="0.25">
      <c r="A5" s="7" t="s">
        <v>733</v>
      </c>
      <c r="B5" s="11" t="s">
        <v>766</v>
      </c>
      <c r="C5" s="7">
        <v>156</v>
      </c>
      <c r="D5" s="11" t="s">
        <v>516</v>
      </c>
      <c r="E5" s="11" t="s">
        <v>517</v>
      </c>
      <c r="F5" s="17" t="s">
        <v>124</v>
      </c>
      <c r="G5" s="237">
        <f t="shared" si="0"/>
        <v>4.2300000000000004</v>
      </c>
      <c r="H5" s="2">
        <v>4.2300000000000004</v>
      </c>
      <c r="I5" s="2"/>
      <c r="J5" s="2"/>
      <c r="K5" s="2"/>
      <c r="L5" s="2"/>
      <c r="M5" s="2"/>
      <c r="N5" s="2"/>
      <c r="O5" s="2"/>
      <c r="P5" s="2"/>
      <c r="Q5" s="2"/>
    </row>
    <row r="6" spans="1:18" ht="30" x14ac:dyDescent="0.25">
      <c r="A6" s="7" t="s">
        <v>733</v>
      </c>
      <c r="B6" s="11" t="s">
        <v>766</v>
      </c>
      <c r="C6" s="7">
        <v>157</v>
      </c>
      <c r="D6" s="11" t="s">
        <v>511</v>
      </c>
      <c r="E6" s="11" t="s">
        <v>512</v>
      </c>
      <c r="F6" s="17" t="s">
        <v>123</v>
      </c>
      <c r="G6" s="237">
        <f t="shared" si="0"/>
        <v>0.3</v>
      </c>
      <c r="H6" s="2">
        <v>0.3</v>
      </c>
      <c r="I6" s="2"/>
      <c r="J6" s="2"/>
      <c r="K6" s="2"/>
      <c r="L6" s="2"/>
      <c r="M6" s="2"/>
      <c r="N6" s="2"/>
      <c r="O6" s="2"/>
      <c r="P6" s="2"/>
      <c r="Q6" s="2"/>
    </row>
    <row r="7" spans="1:18" ht="30" x14ac:dyDescent="0.25">
      <c r="A7" s="7" t="s">
        <v>733</v>
      </c>
      <c r="B7" s="11" t="s">
        <v>766</v>
      </c>
      <c r="C7" s="7">
        <v>154</v>
      </c>
      <c r="D7" s="11" t="s">
        <v>519</v>
      </c>
      <c r="E7" s="11" t="s">
        <v>401</v>
      </c>
      <c r="F7" s="17" t="s">
        <v>128</v>
      </c>
      <c r="G7" s="237">
        <f t="shared" si="0"/>
        <v>0.2</v>
      </c>
      <c r="H7" s="2">
        <v>0.2</v>
      </c>
      <c r="I7" s="2"/>
      <c r="J7" s="2"/>
      <c r="K7" s="2"/>
      <c r="L7" s="2"/>
      <c r="M7" s="2"/>
      <c r="N7" s="2"/>
      <c r="O7" s="2"/>
      <c r="P7" s="2"/>
      <c r="Q7" s="2"/>
    </row>
    <row r="8" spans="1:18" ht="31.5" customHeight="1" x14ac:dyDescent="0.25">
      <c r="A8" s="7" t="s">
        <v>733</v>
      </c>
      <c r="B8" s="11" t="s">
        <v>766</v>
      </c>
      <c r="C8" s="7">
        <v>154</v>
      </c>
      <c r="D8" s="11" t="s">
        <v>519</v>
      </c>
      <c r="E8" s="11" t="s">
        <v>401</v>
      </c>
      <c r="F8" s="17" t="s">
        <v>129</v>
      </c>
      <c r="G8" s="237">
        <f t="shared" si="0"/>
        <v>0.2</v>
      </c>
      <c r="H8" s="2">
        <v>0.2</v>
      </c>
      <c r="I8" s="2"/>
      <c r="J8" s="2"/>
      <c r="K8" s="2"/>
      <c r="L8" s="2"/>
      <c r="M8" s="2"/>
      <c r="N8" s="2"/>
      <c r="O8" s="2"/>
      <c r="P8" s="2"/>
      <c r="Q8" s="2"/>
    </row>
    <row r="9" spans="1:18" ht="28.5" customHeight="1" x14ac:dyDescent="0.25">
      <c r="A9" s="7" t="s">
        <v>733</v>
      </c>
      <c r="B9" s="11" t="s">
        <v>766</v>
      </c>
      <c r="C9" s="7">
        <v>155</v>
      </c>
      <c r="D9" s="11" t="s">
        <v>513</v>
      </c>
      <c r="E9" s="11" t="s">
        <v>514</v>
      </c>
      <c r="F9" s="17" t="s">
        <v>515</v>
      </c>
      <c r="G9" s="237">
        <f t="shared" si="0"/>
        <v>16</v>
      </c>
      <c r="H9" s="2">
        <v>16</v>
      </c>
      <c r="I9" s="2"/>
      <c r="J9" s="2"/>
      <c r="K9" s="2"/>
      <c r="L9" s="2"/>
      <c r="M9" s="2"/>
      <c r="N9" s="2"/>
      <c r="O9" s="2"/>
      <c r="P9" s="2"/>
      <c r="Q9" s="2"/>
    </row>
    <row r="10" spans="1:18" ht="34.5" customHeight="1" x14ac:dyDescent="0.25">
      <c r="A10" s="7" t="s">
        <v>733</v>
      </c>
      <c r="B10" s="11" t="s">
        <v>766</v>
      </c>
      <c r="C10" s="7">
        <v>155</v>
      </c>
      <c r="D10" s="11" t="s">
        <v>513</v>
      </c>
      <c r="E10" s="11" t="s">
        <v>518</v>
      </c>
      <c r="F10" s="18" t="s">
        <v>125</v>
      </c>
      <c r="G10" s="237">
        <f t="shared" si="0"/>
        <v>2.33</v>
      </c>
      <c r="H10" s="2">
        <v>2.33</v>
      </c>
      <c r="I10" s="2"/>
      <c r="J10" s="2"/>
      <c r="K10" s="2"/>
      <c r="L10" s="2"/>
      <c r="M10" s="2"/>
      <c r="N10" s="2"/>
      <c r="O10" s="2"/>
      <c r="P10" s="2"/>
      <c r="Q10" s="2"/>
    </row>
    <row r="11" spans="1:18" ht="45" x14ac:dyDescent="0.25">
      <c r="A11" s="7" t="s">
        <v>733</v>
      </c>
      <c r="B11" s="11" t="s">
        <v>766</v>
      </c>
      <c r="C11" s="7">
        <v>155</v>
      </c>
      <c r="D11" s="11" t="s">
        <v>513</v>
      </c>
      <c r="E11" s="11" t="s">
        <v>518</v>
      </c>
      <c r="F11" s="10" t="s">
        <v>126</v>
      </c>
      <c r="G11" s="237">
        <f t="shared" si="0"/>
        <v>0.62</v>
      </c>
      <c r="H11" s="2">
        <v>0.62</v>
      </c>
      <c r="I11" s="2"/>
      <c r="J11" s="2"/>
      <c r="K11" s="2"/>
      <c r="L11" s="2"/>
      <c r="M11" s="2"/>
      <c r="N11" s="2"/>
      <c r="O11" s="2"/>
      <c r="P11" s="2"/>
      <c r="Q11" s="2"/>
    </row>
    <row r="12" spans="1:18" ht="45" x14ac:dyDescent="0.25">
      <c r="A12" s="7" t="s">
        <v>733</v>
      </c>
      <c r="B12" s="11" t="s">
        <v>766</v>
      </c>
      <c r="C12" s="7">
        <v>155</v>
      </c>
      <c r="D12" s="11" t="s">
        <v>513</v>
      </c>
      <c r="E12" s="11" t="s">
        <v>24</v>
      </c>
      <c r="F12" s="17" t="s">
        <v>127</v>
      </c>
      <c r="G12" s="237">
        <f t="shared" si="0"/>
        <v>2.25</v>
      </c>
      <c r="H12" s="2">
        <v>2.25</v>
      </c>
      <c r="I12" s="2"/>
      <c r="J12" s="2"/>
      <c r="K12" s="2"/>
      <c r="L12" s="2"/>
      <c r="M12" s="2"/>
      <c r="N12" s="2"/>
      <c r="O12" s="2"/>
      <c r="P12" s="2"/>
      <c r="Q12" s="2"/>
    </row>
    <row r="13" spans="1:18" ht="33.75" customHeight="1" x14ac:dyDescent="0.25">
      <c r="A13" s="7" t="s">
        <v>733</v>
      </c>
      <c r="B13" s="11" t="s">
        <v>766</v>
      </c>
      <c r="C13" s="7">
        <v>155</v>
      </c>
      <c r="D13" s="11" t="s">
        <v>513</v>
      </c>
      <c r="E13" s="11" t="s">
        <v>396</v>
      </c>
      <c r="F13" s="18" t="s">
        <v>130</v>
      </c>
      <c r="G13" s="237">
        <f t="shared" si="0"/>
        <v>1.5879999999999996</v>
      </c>
      <c r="H13" s="2">
        <v>0</v>
      </c>
      <c r="I13" s="2">
        <v>0.28999999999999998</v>
      </c>
      <c r="J13" s="2">
        <v>0.14399999999999999</v>
      </c>
      <c r="K13" s="2">
        <v>0.14399999999999999</v>
      </c>
      <c r="L13" s="2">
        <v>0.14399999999999999</v>
      </c>
      <c r="M13" s="2">
        <v>0.14399999999999999</v>
      </c>
      <c r="N13" s="2">
        <v>0.28999999999999998</v>
      </c>
      <c r="O13" s="2">
        <v>0.14399999999999999</v>
      </c>
      <c r="P13" s="2">
        <v>0.14399999999999999</v>
      </c>
      <c r="Q13" s="2">
        <v>0.14399999999999999</v>
      </c>
    </row>
    <row r="14" spans="1:18" s="32" customFormat="1" ht="27.75" customHeight="1" x14ac:dyDescent="0.25">
      <c r="A14" s="14"/>
      <c r="B14" s="31"/>
      <c r="C14" s="31"/>
      <c r="D14" s="31"/>
      <c r="E14" s="31"/>
      <c r="F14" s="14" t="s">
        <v>15</v>
      </c>
      <c r="G14" s="12">
        <f t="shared" ref="G14:Q14" si="1">SUM(G4:G13)</f>
        <v>28.148</v>
      </c>
      <c r="H14" s="12">
        <f t="shared" si="1"/>
        <v>26.56</v>
      </c>
      <c r="I14" s="12">
        <f t="shared" si="1"/>
        <v>0.28999999999999998</v>
      </c>
      <c r="J14" s="12">
        <f t="shared" si="1"/>
        <v>0.14399999999999999</v>
      </c>
      <c r="K14" s="12">
        <f t="shared" si="1"/>
        <v>0.14399999999999999</v>
      </c>
      <c r="L14" s="12">
        <f t="shared" si="1"/>
        <v>0.14399999999999999</v>
      </c>
      <c r="M14" s="12">
        <f t="shared" si="1"/>
        <v>0.14399999999999999</v>
      </c>
      <c r="N14" s="12">
        <f t="shared" si="1"/>
        <v>0.28999999999999998</v>
      </c>
      <c r="O14" s="12">
        <f t="shared" si="1"/>
        <v>0.14399999999999999</v>
      </c>
      <c r="P14" s="12">
        <f t="shared" si="1"/>
        <v>0.14399999999999999</v>
      </c>
      <c r="Q14" s="12">
        <f t="shared" si="1"/>
        <v>0.14399999999999999</v>
      </c>
      <c r="R14" s="22"/>
    </row>
    <row r="15" spans="1:18" s="27" customFormat="1" x14ac:dyDescent="0.25">
      <c r="B15" s="28"/>
      <c r="C15" s="28"/>
      <c r="D15" s="28"/>
      <c r="E15" s="28"/>
      <c r="F15" s="23"/>
      <c r="G15" s="2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 s="27" customFormat="1" x14ac:dyDescent="0.25">
      <c r="B16" s="28"/>
      <c r="C16" s="28"/>
      <c r="D16" s="28"/>
      <c r="E16" s="28"/>
      <c r="F16" s="23"/>
      <c r="G16" s="2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</sheetData>
  <autoFilter ref="A3:Q14" xr:uid="{554ED1F3-6395-4B93-9FEF-C3ECA7C6D550}">
    <sortState xmlns:xlrd2="http://schemas.microsoft.com/office/spreadsheetml/2017/richdata2" ref="A4:Q14">
      <sortCondition ref="D3:D14"/>
    </sortState>
  </autoFilter>
  <mergeCells count="1">
    <mergeCell ref="A1:G1"/>
  </mergeCells>
  <pageMargins left="0.7" right="0.7" top="0.75" bottom="0.75" header="0.3" footer="0.3"/>
  <pageSetup paperSize="5" scale="68" fitToHeight="3" orientation="landscape" horizont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4C81-D04A-4837-AA92-535BC77E8D2F}">
  <sheetPr>
    <tabColor rgb="FFFF0000"/>
    <pageSetUpPr fitToPage="1"/>
  </sheetPr>
  <dimension ref="A1:S6"/>
  <sheetViews>
    <sheetView view="pageBreakPreview" zoomScale="115" zoomScaleNormal="100" zoomScaleSheetLayoutView="115" workbookViewId="0">
      <selection activeCell="F10" sqref="F10"/>
    </sheetView>
  </sheetViews>
  <sheetFormatPr defaultColWidth="9.140625" defaultRowHeight="15" x14ac:dyDescent="0.25"/>
  <cols>
    <col min="1" max="1" width="9.140625" style="28" customWidth="1"/>
    <col min="2" max="2" width="23.28515625" style="28" customWidth="1"/>
    <col min="3" max="3" width="5.28515625" style="28" bestFit="1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0" t="s">
        <v>34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7" t="s">
        <v>0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2</v>
      </c>
      <c r="G2" s="38" t="s">
        <v>793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45" x14ac:dyDescent="0.25">
      <c r="A3" s="11" t="s">
        <v>731</v>
      </c>
      <c r="B3" s="11" t="s">
        <v>729</v>
      </c>
      <c r="C3" s="11">
        <v>178</v>
      </c>
      <c r="D3" s="11" t="s">
        <v>676</v>
      </c>
      <c r="E3" s="11" t="s">
        <v>371</v>
      </c>
      <c r="F3" s="10" t="s">
        <v>938</v>
      </c>
      <c r="G3" s="237">
        <f t="shared" ref="G3" si="0">SUM(H3:Q3)</f>
        <v>0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s="32" customFormat="1" ht="30" customHeight="1" x14ac:dyDescent="0.25">
      <c r="A4" s="343" t="s">
        <v>15</v>
      </c>
      <c r="B4" s="343"/>
      <c r="C4" s="343"/>
      <c r="D4" s="343"/>
      <c r="E4" s="343"/>
      <c r="F4" s="343"/>
      <c r="G4" s="12">
        <f t="shared" ref="G4:Q4" si="1">SUM(G3:G3)</f>
        <v>0</v>
      </c>
      <c r="H4" s="12">
        <f t="shared" si="1"/>
        <v>0</v>
      </c>
      <c r="I4" s="12">
        <f t="shared" si="1"/>
        <v>0</v>
      </c>
      <c r="J4" s="12">
        <f t="shared" si="1"/>
        <v>0</v>
      </c>
      <c r="K4" s="12">
        <f t="shared" si="1"/>
        <v>0</v>
      </c>
      <c r="L4" s="12">
        <f t="shared" si="1"/>
        <v>0</v>
      </c>
      <c r="M4" s="12">
        <f t="shared" si="1"/>
        <v>0</v>
      </c>
      <c r="N4" s="12">
        <f t="shared" si="1"/>
        <v>0</v>
      </c>
      <c r="O4" s="12">
        <f t="shared" si="1"/>
        <v>0</v>
      </c>
      <c r="P4" s="12">
        <f t="shared" si="1"/>
        <v>0</v>
      </c>
      <c r="Q4" s="12">
        <f t="shared" si="1"/>
        <v>0</v>
      </c>
      <c r="R4" s="22"/>
      <c r="S4" s="12"/>
    </row>
    <row r="5" spans="1:19" s="27" customFormat="1" x14ac:dyDescent="0.25">
      <c r="A5" s="28"/>
      <c r="B5" s="28"/>
      <c r="C5" s="28"/>
      <c r="D5" s="28"/>
      <c r="E5" s="28"/>
      <c r="F5" s="23"/>
      <c r="G5" s="26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27" customFormat="1" x14ac:dyDescent="0.25">
      <c r="A6" s="28"/>
      <c r="B6" s="28"/>
      <c r="C6" s="28"/>
      <c r="D6" s="28"/>
      <c r="E6" s="28"/>
      <c r="F6" s="23"/>
      <c r="G6" s="2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</sheetData>
  <mergeCells count="2">
    <mergeCell ref="A1:G1"/>
    <mergeCell ref="A4:F4"/>
  </mergeCells>
  <pageMargins left="0.7" right="0.7" top="0.75" bottom="0.75" header="0.3" footer="0.3"/>
  <pageSetup paperSize="5" scale="60" fitToHeight="3" orientation="landscape" horizont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BAE8-CE4A-4BDF-9244-FC2A3F72255E}">
  <sheetPr>
    <tabColor rgb="FFFF0000"/>
    <pageSetUpPr fitToPage="1"/>
  </sheetPr>
  <dimension ref="A1:R9"/>
  <sheetViews>
    <sheetView view="pageBreakPreview" zoomScale="85" zoomScaleNormal="100" zoomScaleSheetLayoutView="85" workbookViewId="0">
      <pane xSplit="6" ySplit="2" topLeftCell="G3" activePane="bottomRight" state="frozen"/>
      <selection pane="topRight"/>
      <selection pane="bottomLeft"/>
      <selection pane="bottomRight" activeCell="H3" sqref="H3:Q8"/>
    </sheetView>
  </sheetViews>
  <sheetFormatPr defaultColWidth="9.140625" defaultRowHeight="15" x14ac:dyDescent="0.25"/>
  <cols>
    <col min="1" max="1" width="11.7109375" style="27" customWidth="1"/>
    <col min="2" max="2" width="21.42578125" style="27" customWidth="1"/>
    <col min="3" max="3" width="5.85546875" style="27" bestFit="1" customWidth="1"/>
    <col min="4" max="4" width="17.7109375" style="28" customWidth="1"/>
    <col min="5" max="5" width="26.7109375" style="28" customWidth="1"/>
    <col min="6" max="6" width="44.85546875" style="23" customWidth="1"/>
    <col min="7" max="7" width="12.140625" style="26" customWidth="1"/>
    <col min="8" max="17" width="12.140625" style="33" customWidth="1"/>
    <col min="18" max="18" width="9.140625" style="22"/>
    <col min="19" max="16384" width="9.140625" style="23"/>
  </cols>
  <sheetData>
    <row r="1" spans="1:18" ht="24" customHeight="1" x14ac:dyDescent="0.25">
      <c r="A1" s="338" t="s">
        <v>861</v>
      </c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s="71" customFormat="1" ht="55.5" customHeight="1" x14ac:dyDescent="0.25">
      <c r="A2" s="36" t="s">
        <v>0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38" t="s">
        <v>3</v>
      </c>
      <c r="I2" s="167" t="s">
        <v>4</v>
      </c>
      <c r="J2" s="167" t="s">
        <v>5</v>
      </c>
      <c r="K2" s="167" t="s">
        <v>6</v>
      </c>
      <c r="L2" s="167" t="s">
        <v>7</v>
      </c>
      <c r="M2" s="167" t="s">
        <v>8</v>
      </c>
      <c r="N2" s="167" t="s">
        <v>9</v>
      </c>
      <c r="O2" s="167" t="s">
        <v>10</v>
      </c>
      <c r="P2" s="167" t="s">
        <v>11</v>
      </c>
      <c r="Q2" s="167" t="s">
        <v>12</v>
      </c>
      <c r="R2" s="70"/>
    </row>
    <row r="3" spans="1:18" ht="45" x14ac:dyDescent="0.25">
      <c r="A3" s="69" t="s">
        <v>740</v>
      </c>
      <c r="B3" s="69" t="s">
        <v>768</v>
      </c>
      <c r="C3" s="69" t="s">
        <v>741</v>
      </c>
      <c r="D3" s="11" t="s">
        <v>438</v>
      </c>
      <c r="E3" s="11" t="s">
        <v>439</v>
      </c>
      <c r="F3" s="10" t="s">
        <v>252</v>
      </c>
      <c r="G3" s="234">
        <f>SUM(H3:Q3)</f>
        <v>5.47</v>
      </c>
      <c r="H3" s="7">
        <v>5.47</v>
      </c>
      <c r="I3" s="3"/>
      <c r="J3" s="3"/>
      <c r="K3" s="3"/>
      <c r="L3" s="3"/>
      <c r="M3" s="3"/>
      <c r="N3" s="3"/>
      <c r="O3" s="3"/>
      <c r="P3" s="3"/>
      <c r="Q3" s="3"/>
    </row>
    <row r="4" spans="1:18" ht="45" x14ac:dyDescent="0.25">
      <c r="A4" s="69" t="s">
        <v>740</v>
      </c>
      <c r="B4" s="69" t="s">
        <v>768</v>
      </c>
      <c r="C4" s="69" t="s">
        <v>741</v>
      </c>
      <c r="D4" s="11" t="s">
        <v>438</v>
      </c>
      <c r="E4" s="11" t="s">
        <v>439</v>
      </c>
      <c r="F4" s="10" t="s">
        <v>253</v>
      </c>
      <c r="G4" s="234">
        <f t="shared" ref="G4:G8" si="0">SUM(H4:Q4)</f>
        <v>2.62</v>
      </c>
      <c r="H4" s="3">
        <v>2.62</v>
      </c>
      <c r="I4" s="3"/>
      <c r="J4" s="3"/>
      <c r="K4" s="3"/>
      <c r="L4" s="3"/>
      <c r="M4" s="3"/>
      <c r="N4" s="3"/>
      <c r="O4" s="3"/>
      <c r="P4" s="3"/>
      <c r="Q4" s="3"/>
    </row>
    <row r="5" spans="1:18" ht="45" x14ac:dyDescent="0.25">
      <c r="A5" s="69" t="s">
        <v>740</v>
      </c>
      <c r="B5" s="69" t="s">
        <v>768</v>
      </c>
      <c r="C5" s="69" t="s">
        <v>741</v>
      </c>
      <c r="D5" s="11" t="s">
        <v>438</v>
      </c>
      <c r="E5" s="11" t="s">
        <v>371</v>
      </c>
      <c r="F5" s="10" t="s">
        <v>645</v>
      </c>
      <c r="G5" s="234">
        <f t="shared" si="0"/>
        <v>2</v>
      </c>
      <c r="H5" s="3">
        <v>2</v>
      </c>
      <c r="I5" s="3"/>
      <c r="J5" s="3"/>
      <c r="K5" s="3"/>
      <c r="L5" s="3"/>
      <c r="M5" s="3"/>
      <c r="N5" s="3"/>
      <c r="O5" s="3"/>
      <c r="P5" s="3"/>
      <c r="Q5" s="3"/>
    </row>
    <row r="6" spans="1:18" s="22" customFormat="1" ht="45" x14ac:dyDescent="0.25">
      <c r="A6" s="69" t="s">
        <v>740</v>
      </c>
      <c r="B6" s="69" t="s">
        <v>768</v>
      </c>
      <c r="C6" s="69" t="s">
        <v>741</v>
      </c>
      <c r="D6" s="11" t="s">
        <v>438</v>
      </c>
      <c r="E6" s="11" t="s">
        <v>371</v>
      </c>
      <c r="F6" s="10" t="s">
        <v>254</v>
      </c>
      <c r="G6" s="234">
        <f t="shared" si="0"/>
        <v>4.8</v>
      </c>
      <c r="H6" s="3">
        <v>4.8</v>
      </c>
      <c r="I6" s="3"/>
      <c r="J6" s="3"/>
      <c r="K6" s="3"/>
      <c r="L6" s="3"/>
      <c r="M6" s="3"/>
      <c r="N6" s="3"/>
      <c r="O6" s="3"/>
      <c r="P6" s="3"/>
      <c r="Q6" s="3"/>
    </row>
    <row r="7" spans="1:18" ht="45" x14ac:dyDescent="0.25">
      <c r="A7" s="69" t="s">
        <v>740</v>
      </c>
      <c r="B7" s="69" t="s">
        <v>768</v>
      </c>
      <c r="C7" s="69" t="s">
        <v>741</v>
      </c>
      <c r="D7" s="11" t="s">
        <v>438</v>
      </c>
      <c r="E7" s="11" t="s">
        <v>371</v>
      </c>
      <c r="F7" s="10" t="s">
        <v>255</v>
      </c>
      <c r="G7" s="234">
        <f t="shared" si="0"/>
        <v>5.76</v>
      </c>
      <c r="H7" s="3"/>
      <c r="I7" s="3">
        <v>0.64</v>
      </c>
      <c r="J7" s="3">
        <v>0.64</v>
      </c>
      <c r="K7" s="3">
        <v>0.64</v>
      </c>
      <c r="L7" s="3">
        <v>0.64</v>
      </c>
      <c r="M7" s="3">
        <v>0.64</v>
      </c>
      <c r="N7" s="3">
        <v>0.64</v>
      </c>
      <c r="O7" s="3">
        <v>0.64</v>
      </c>
      <c r="P7" s="3">
        <v>0.64</v>
      </c>
      <c r="Q7" s="3">
        <v>0.64</v>
      </c>
    </row>
    <row r="8" spans="1:18" ht="45" x14ac:dyDescent="0.25">
      <c r="A8" s="69" t="s">
        <v>740</v>
      </c>
      <c r="B8" s="69" t="s">
        <v>768</v>
      </c>
      <c r="C8" s="69" t="s">
        <v>741</v>
      </c>
      <c r="D8" s="11" t="s">
        <v>438</v>
      </c>
      <c r="E8" s="11" t="s">
        <v>371</v>
      </c>
      <c r="F8" s="10" t="s">
        <v>256</v>
      </c>
      <c r="G8" s="234">
        <f t="shared" si="0"/>
        <v>13.560000000000004</v>
      </c>
      <c r="H8" s="3">
        <v>7.08</v>
      </c>
      <c r="I8" s="3">
        <v>0.72</v>
      </c>
      <c r="J8" s="3">
        <v>0.72</v>
      </c>
      <c r="K8" s="3">
        <v>0.72</v>
      </c>
      <c r="L8" s="3">
        <v>0.72</v>
      </c>
      <c r="M8" s="3">
        <v>0.72</v>
      </c>
      <c r="N8" s="3">
        <v>0.72</v>
      </c>
      <c r="O8" s="3">
        <v>0.72</v>
      </c>
      <c r="P8" s="3">
        <v>0.72</v>
      </c>
      <c r="Q8" s="3">
        <v>0.72</v>
      </c>
    </row>
    <row r="9" spans="1:18" s="32" customFormat="1" ht="28.5" customHeight="1" x14ac:dyDescent="0.25">
      <c r="A9" s="343"/>
      <c r="B9" s="343"/>
      <c r="C9" s="343"/>
      <c r="D9" s="343"/>
      <c r="E9" s="343"/>
      <c r="F9" s="343"/>
      <c r="G9" s="231">
        <f t="shared" ref="G9:Q9" si="1">SUM(G3:G8)</f>
        <v>34.21</v>
      </c>
      <c r="H9" s="24">
        <f t="shared" si="1"/>
        <v>21.97</v>
      </c>
      <c r="I9" s="29">
        <f t="shared" si="1"/>
        <v>1.3599999999999999</v>
      </c>
      <c r="J9" s="29">
        <f t="shared" si="1"/>
        <v>1.3599999999999999</v>
      </c>
      <c r="K9" s="29">
        <f t="shared" si="1"/>
        <v>1.3599999999999999</v>
      </c>
      <c r="L9" s="29">
        <f t="shared" si="1"/>
        <v>1.3599999999999999</v>
      </c>
      <c r="M9" s="29">
        <f t="shared" si="1"/>
        <v>1.3599999999999999</v>
      </c>
      <c r="N9" s="29">
        <f t="shared" si="1"/>
        <v>1.3599999999999999</v>
      </c>
      <c r="O9" s="29">
        <f t="shared" si="1"/>
        <v>1.3599999999999999</v>
      </c>
      <c r="P9" s="29">
        <f t="shared" si="1"/>
        <v>1.3599999999999999</v>
      </c>
      <c r="Q9" s="29">
        <f t="shared" si="1"/>
        <v>1.3599999999999999</v>
      </c>
      <c r="R9" s="30"/>
    </row>
  </sheetData>
  <mergeCells count="2">
    <mergeCell ref="A1:G1"/>
    <mergeCell ref="A9:F9"/>
  </mergeCells>
  <phoneticPr fontId="15" type="noConversion"/>
  <pageMargins left="0.25" right="0.25" top="0.75" bottom="0.75" header="0.3" footer="0.3"/>
  <pageSetup paperSize="5"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D0B0-F4E8-4BF5-9062-E6633E3A6F36}">
  <sheetPr>
    <tabColor rgb="FFFF0000"/>
    <pageSetUpPr fitToPage="1"/>
  </sheetPr>
  <dimension ref="A1:Q50"/>
  <sheetViews>
    <sheetView zoomScaleNormal="100" zoomScaleSheetLayoutView="100" workbookViewId="0">
      <pane ySplit="2" topLeftCell="A45" activePane="bottomLeft" state="frozen"/>
      <selection pane="bottomLeft" activeCell="U7" sqref="U7"/>
    </sheetView>
  </sheetViews>
  <sheetFormatPr defaultColWidth="8.85546875" defaultRowHeight="15" x14ac:dyDescent="0.25"/>
  <cols>
    <col min="1" max="1" width="8.85546875" style="260"/>
    <col min="2" max="2" width="11.28515625" style="260" bestFit="1" customWidth="1"/>
    <col min="3" max="3" width="6.140625" style="271" bestFit="1" customWidth="1"/>
    <col min="4" max="4" width="24" style="260" customWidth="1"/>
    <col min="5" max="5" width="24.140625" style="260" customWidth="1"/>
    <col min="6" max="6" width="41.7109375" style="260" customWidth="1"/>
    <col min="7" max="16384" width="8.85546875" style="260"/>
  </cols>
  <sheetData>
    <row r="1" spans="1:17" s="250" customFormat="1" ht="24" customHeight="1" x14ac:dyDescent="0.25">
      <c r="A1" s="348" t="s">
        <v>1006</v>
      </c>
      <c r="B1" s="348"/>
      <c r="C1" s="348"/>
      <c r="D1" s="348"/>
      <c r="E1" s="348"/>
      <c r="F1" s="348"/>
      <c r="G1" s="3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s="249" customFormat="1" ht="55.5" customHeight="1" x14ac:dyDescent="0.25">
      <c r="A2" s="251" t="s">
        <v>722</v>
      </c>
      <c r="B2" s="251" t="s">
        <v>18</v>
      </c>
      <c r="C2" s="251" t="s">
        <v>751</v>
      </c>
      <c r="D2" s="251" t="s">
        <v>486</v>
      </c>
      <c r="E2" s="251" t="s">
        <v>487</v>
      </c>
      <c r="F2" s="251" t="s">
        <v>2</v>
      </c>
      <c r="G2" s="253" t="s">
        <v>836</v>
      </c>
      <c r="H2" s="253" t="s">
        <v>3</v>
      </c>
      <c r="I2" s="254" t="s">
        <v>4</v>
      </c>
      <c r="J2" s="254" t="s">
        <v>5</v>
      </c>
      <c r="K2" s="254" t="s">
        <v>6</v>
      </c>
      <c r="L2" s="254" t="s">
        <v>7</v>
      </c>
      <c r="M2" s="254" t="s">
        <v>8</v>
      </c>
      <c r="N2" s="254" t="s">
        <v>9</v>
      </c>
      <c r="O2" s="254" t="s">
        <v>10</v>
      </c>
      <c r="P2" s="254" t="s">
        <v>11</v>
      </c>
      <c r="Q2" s="252" t="s">
        <v>12</v>
      </c>
    </row>
    <row r="3" spans="1:17" s="249" customFormat="1" x14ac:dyDescent="0.25">
      <c r="A3" s="251"/>
      <c r="B3" s="251"/>
      <c r="C3" s="251"/>
      <c r="D3" s="251"/>
      <c r="E3" s="255"/>
      <c r="F3" s="251"/>
      <c r="G3" s="253"/>
      <c r="H3" s="253"/>
      <c r="I3" s="254"/>
      <c r="J3" s="254"/>
      <c r="K3" s="254"/>
      <c r="L3" s="254"/>
      <c r="M3" s="254"/>
      <c r="N3" s="254"/>
      <c r="O3" s="254"/>
      <c r="P3" s="254"/>
      <c r="Q3" s="252"/>
    </row>
    <row r="4" spans="1:17" ht="15.75" customHeight="1" x14ac:dyDescent="0.25">
      <c r="A4" s="292" t="s">
        <v>752</v>
      </c>
      <c r="B4" s="292" t="s">
        <v>37</v>
      </c>
      <c r="C4" s="293">
        <v>64</v>
      </c>
      <c r="D4" s="292" t="s">
        <v>607</v>
      </c>
      <c r="E4" s="256" t="s">
        <v>398</v>
      </c>
      <c r="F4" s="257" t="s">
        <v>230</v>
      </c>
      <c r="G4" s="294">
        <f t="shared" ref="G4:G49" si="0">SUM(H4:Q4)</f>
        <v>70.720000000000013</v>
      </c>
      <c r="H4" s="258">
        <v>0</v>
      </c>
      <c r="I4" s="259">
        <v>4.32</v>
      </c>
      <c r="J4" s="259">
        <v>3.9</v>
      </c>
      <c r="K4" s="259">
        <v>3.29</v>
      </c>
      <c r="L4" s="259">
        <v>3.64</v>
      </c>
      <c r="M4" s="259">
        <v>20.81</v>
      </c>
      <c r="N4" s="259">
        <v>14.06</v>
      </c>
      <c r="O4" s="259">
        <v>11.02</v>
      </c>
      <c r="P4" s="259">
        <v>6</v>
      </c>
      <c r="Q4" s="259">
        <v>3.68</v>
      </c>
    </row>
    <row r="5" spans="1:17" ht="31.5" x14ac:dyDescent="0.25">
      <c r="A5" s="292" t="s">
        <v>752</v>
      </c>
      <c r="B5" s="292" t="s">
        <v>37</v>
      </c>
      <c r="C5" s="293">
        <v>64</v>
      </c>
      <c r="D5" s="292" t="s">
        <v>607</v>
      </c>
      <c r="E5" s="261" t="s">
        <v>428</v>
      </c>
      <c r="F5" s="257" t="s">
        <v>231</v>
      </c>
      <c r="G5" s="294">
        <f t="shared" si="0"/>
        <v>46.7</v>
      </c>
      <c r="H5" s="258">
        <v>0</v>
      </c>
      <c r="I5" s="259">
        <v>0.18</v>
      </c>
      <c r="J5" s="259">
        <v>0.18</v>
      </c>
      <c r="K5" s="259">
        <v>0.3</v>
      </c>
      <c r="L5" s="259">
        <v>0</v>
      </c>
      <c r="M5" s="259">
        <v>17.64</v>
      </c>
      <c r="N5" s="259">
        <v>15.62</v>
      </c>
      <c r="O5" s="259">
        <v>9.07</v>
      </c>
      <c r="P5" s="259">
        <v>3.53</v>
      </c>
      <c r="Q5" s="259">
        <v>0.18</v>
      </c>
    </row>
    <row r="6" spans="1:17" ht="15.75" customHeight="1" x14ac:dyDescent="0.25">
      <c r="A6" s="292" t="s">
        <v>752</v>
      </c>
      <c r="B6" s="292" t="s">
        <v>37</v>
      </c>
      <c r="C6" s="293">
        <v>64</v>
      </c>
      <c r="D6" s="292" t="s">
        <v>607</v>
      </c>
      <c r="E6" s="261" t="s">
        <v>428</v>
      </c>
      <c r="F6" s="257" t="s">
        <v>232</v>
      </c>
      <c r="G6" s="294">
        <f t="shared" si="0"/>
        <v>12.589999999999998</v>
      </c>
      <c r="H6" s="258">
        <f>6.81-1.8</f>
        <v>5.01</v>
      </c>
      <c r="I6" s="259">
        <v>0.15</v>
      </c>
      <c r="J6" s="259">
        <v>0.1</v>
      </c>
      <c r="K6" s="259">
        <v>0.1</v>
      </c>
      <c r="L6" s="259">
        <v>0</v>
      </c>
      <c r="M6" s="259">
        <v>3</v>
      </c>
      <c r="N6" s="259">
        <v>2</v>
      </c>
      <c r="O6" s="259">
        <v>1.1299999999999999</v>
      </c>
      <c r="P6" s="259">
        <v>1</v>
      </c>
      <c r="Q6" s="259">
        <v>0.1</v>
      </c>
    </row>
    <row r="7" spans="1:17" ht="31.5" x14ac:dyDescent="0.25">
      <c r="A7" s="292" t="str">
        <f>A6</f>
        <v>NDCP.2</v>
      </c>
      <c r="B7" s="292" t="str">
        <f>B6</f>
        <v>NVBDCP</v>
      </c>
      <c r="C7" s="293">
        <f>C6</f>
        <v>64</v>
      </c>
      <c r="D7" s="292" t="s">
        <v>1008</v>
      </c>
      <c r="E7" s="298" t="str">
        <f>E6</f>
        <v>Others including operating cost (OOC)</v>
      </c>
      <c r="F7" s="257" t="s">
        <v>977</v>
      </c>
      <c r="G7" s="294">
        <f t="shared" si="0"/>
        <v>10</v>
      </c>
      <c r="H7" s="258">
        <f>2*20%</f>
        <v>0.4</v>
      </c>
      <c r="I7" s="259">
        <f>4*20%</f>
        <v>0.8</v>
      </c>
      <c r="J7" s="259">
        <f>4*20%</f>
        <v>0.8</v>
      </c>
      <c r="K7" s="259">
        <f>4*20%</f>
        <v>0.8</v>
      </c>
      <c r="L7" s="259">
        <v>0</v>
      </c>
      <c r="M7" s="259">
        <f>8*20%</f>
        <v>1.6</v>
      </c>
      <c r="N7" s="259">
        <f>8*20%</f>
        <v>1.6</v>
      </c>
      <c r="O7" s="259">
        <f>8*20%</f>
        <v>1.6</v>
      </c>
      <c r="P7" s="259">
        <f>8*20%</f>
        <v>1.6</v>
      </c>
      <c r="Q7" s="259">
        <f>4*20%</f>
        <v>0.8</v>
      </c>
    </row>
    <row r="8" spans="1:17" ht="31.5" x14ac:dyDescent="0.25">
      <c r="A8" s="292" t="s">
        <v>752</v>
      </c>
      <c r="B8" s="292" t="s">
        <v>37</v>
      </c>
      <c r="C8" s="293">
        <v>64</v>
      </c>
      <c r="D8" s="292" t="s">
        <v>607</v>
      </c>
      <c r="E8" s="301" t="s">
        <v>428</v>
      </c>
      <c r="F8" s="257" t="s">
        <v>233</v>
      </c>
      <c r="G8" s="294">
        <f t="shared" si="0"/>
        <v>6.25</v>
      </c>
      <c r="H8" s="258">
        <v>6.25</v>
      </c>
      <c r="I8" s="259">
        <v>0</v>
      </c>
      <c r="J8" s="259">
        <v>0</v>
      </c>
      <c r="K8" s="259">
        <v>0</v>
      </c>
      <c r="L8" s="259">
        <v>0</v>
      </c>
      <c r="M8" s="259">
        <v>0</v>
      </c>
      <c r="N8" s="259">
        <v>0</v>
      </c>
      <c r="O8" s="259">
        <v>0</v>
      </c>
      <c r="P8" s="259">
        <v>0</v>
      </c>
      <c r="Q8" s="259">
        <v>0</v>
      </c>
    </row>
    <row r="9" spans="1:17" ht="31.5" x14ac:dyDescent="0.25">
      <c r="A9" s="292" t="s">
        <v>752</v>
      </c>
      <c r="B9" s="292" t="s">
        <v>37</v>
      </c>
      <c r="C9" s="293">
        <v>64</v>
      </c>
      <c r="D9" s="292" t="s">
        <v>607</v>
      </c>
      <c r="E9" s="261" t="s">
        <v>428</v>
      </c>
      <c r="F9" s="257" t="s">
        <v>234</v>
      </c>
      <c r="G9" s="294">
        <f t="shared" si="0"/>
        <v>1</v>
      </c>
      <c r="H9" s="258">
        <v>1</v>
      </c>
      <c r="I9" s="259">
        <v>0</v>
      </c>
      <c r="J9" s="259">
        <v>0</v>
      </c>
      <c r="K9" s="259">
        <v>0</v>
      </c>
      <c r="L9" s="259">
        <v>0</v>
      </c>
      <c r="M9" s="259">
        <v>0</v>
      </c>
      <c r="N9" s="259">
        <v>0</v>
      </c>
      <c r="O9" s="259">
        <v>0</v>
      </c>
      <c r="P9" s="259">
        <v>0</v>
      </c>
      <c r="Q9" s="259">
        <v>0</v>
      </c>
    </row>
    <row r="10" spans="1:17" ht="31.5" x14ac:dyDescent="0.25">
      <c r="A10" s="292" t="s">
        <v>752</v>
      </c>
      <c r="B10" s="292" t="s">
        <v>37</v>
      </c>
      <c r="C10" s="293">
        <v>64</v>
      </c>
      <c r="D10" s="292" t="s">
        <v>607</v>
      </c>
      <c r="E10" s="261" t="s">
        <v>428</v>
      </c>
      <c r="F10" s="257" t="s">
        <v>610</v>
      </c>
      <c r="G10" s="294">
        <f t="shared" si="0"/>
        <v>29.27999999999999</v>
      </c>
      <c r="H10" s="258">
        <f>16.86-4.5</f>
        <v>12.36</v>
      </c>
      <c r="I10" s="259">
        <f t="shared" ref="I10:Q10" si="1">1.38+0.5</f>
        <v>1.88</v>
      </c>
      <c r="J10" s="259">
        <f t="shared" si="1"/>
        <v>1.88</v>
      </c>
      <c r="K10" s="259">
        <f t="shared" si="1"/>
        <v>1.88</v>
      </c>
      <c r="L10" s="259">
        <f t="shared" si="1"/>
        <v>1.88</v>
      </c>
      <c r="M10" s="259">
        <f t="shared" si="1"/>
        <v>1.88</v>
      </c>
      <c r="N10" s="259">
        <f t="shared" si="1"/>
        <v>1.88</v>
      </c>
      <c r="O10" s="259">
        <f t="shared" si="1"/>
        <v>1.88</v>
      </c>
      <c r="P10" s="259">
        <f t="shared" si="1"/>
        <v>1.88</v>
      </c>
      <c r="Q10" s="259">
        <f t="shared" si="1"/>
        <v>1.88</v>
      </c>
    </row>
    <row r="11" spans="1:17" ht="31.5" x14ac:dyDescent="0.25">
      <c r="A11" s="292" t="s">
        <v>752</v>
      </c>
      <c r="B11" s="292" t="s">
        <v>37</v>
      </c>
      <c r="C11" s="293">
        <v>64</v>
      </c>
      <c r="D11" s="292" t="s">
        <v>607</v>
      </c>
      <c r="E11" s="261" t="s">
        <v>428</v>
      </c>
      <c r="F11" s="257" t="s">
        <v>1009</v>
      </c>
      <c r="G11" s="294">
        <f t="shared" si="0"/>
        <v>71.79000000000002</v>
      </c>
      <c r="H11" s="258">
        <v>50.6</v>
      </c>
      <c r="I11" s="259">
        <v>2.27</v>
      </c>
      <c r="J11" s="259">
        <v>1.1599999999999999</v>
      </c>
      <c r="K11" s="259">
        <v>0.7</v>
      </c>
      <c r="L11" s="259">
        <v>1.46</v>
      </c>
      <c r="M11" s="259">
        <v>5.89</v>
      </c>
      <c r="N11" s="259">
        <v>5.36</v>
      </c>
      <c r="O11" s="259">
        <v>2.14</v>
      </c>
      <c r="P11" s="259">
        <v>1.43</v>
      </c>
      <c r="Q11" s="259">
        <v>0.78</v>
      </c>
    </row>
    <row r="12" spans="1:17" ht="15.75" x14ac:dyDescent="0.25">
      <c r="A12" s="292" t="s">
        <v>752</v>
      </c>
      <c r="B12" s="292" t="s">
        <v>37</v>
      </c>
      <c r="C12" s="293">
        <v>64</v>
      </c>
      <c r="D12" s="292" t="s">
        <v>1008</v>
      </c>
      <c r="E12" s="256" t="s">
        <v>410</v>
      </c>
      <c r="F12" s="257" t="s">
        <v>236</v>
      </c>
      <c r="G12" s="294">
        <f t="shared" si="0"/>
        <v>2.6</v>
      </c>
      <c r="H12" s="258">
        <v>0</v>
      </c>
      <c r="I12" s="259">
        <v>0.2</v>
      </c>
      <c r="J12" s="259">
        <v>0.2</v>
      </c>
      <c r="K12" s="259">
        <v>0.2</v>
      </c>
      <c r="L12" s="259">
        <v>0.2</v>
      </c>
      <c r="M12" s="259">
        <v>0.5</v>
      </c>
      <c r="N12" s="259">
        <v>0.5</v>
      </c>
      <c r="O12" s="259">
        <v>0.3</v>
      </c>
      <c r="P12" s="259">
        <v>0.3</v>
      </c>
      <c r="Q12" s="259">
        <v>0.2</v>
      </c>
    </row>
    <row r="13" spans="1:17" ht="15.75" x14ac:dyDescent="0.25">
      <c r="A13" s="292" t="s">
        <v>752</v>
      </c>
      <c r="B13" s="292" t="s">
        <v>37</v>
      </c>
      <c r="C13" s="293">
        <v>64</v>
      </c>
      <c r="D13" s="292" t="s">
        <v>607</v>
      </c>
      <c r="E13" s="256" t="s">
        <v>410</v>
      </c>
      <c r="F13" s="257" t="s">
        <v>1010</v>
      </c>
      <c r="G13" s="294">
        <f t="shared" si="0"/>
        <v>0</v>
      </c>
      <c r="H13" s="258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</row>
    <row r="14" spans="1:17" ht="15.75" x14ac:dyDescent="0.25">
      <c r="A14" s="292" t="s">
        <v>752</v>
      </c>
      <c r="B14" s="292" t="s">
        <v>37</v>
      </c>
      <c r="C14" s="293">
        <v>64</v>
      </c>
      <c r="D14" s="292" t="s">
        <v>607</v>
      </c>
      <c r="E14" s="256" t="s">
        <v>410</v>
      </c>
      <c r="F14" s="257" t="s">
        <v>611</v>
      </c>
      <c r="G14" s="294">
        <f t="shared" si="0"/>
        <v>0.2</v>
      </c>
      <c r="H14" s="258">
        <v>0.1</v>
      </c>
      <c r="I14" s="259">
        <v>0</v>
      </c>
      <c r="J14" s="259">
        <v>0</v>
      </c>
      <c r="K14" s="259">
        <v>0</v>
      </c>
      <c r="L14" s="259">
        <v>0</v>
      </c>
      <c r="M14" s="259">
        <v>0</v>
      </c>
      <c r="N14" s="259">
        <v>0.1</v>
      </c>
      <c r="O14" s="259">
        <v>0</v>
      </c>
      <c r="P14" s="259">
        <v>0</v>
      </c>
      <c r="Q14" s="259">
        <v>0</v>
      </c>
    </row>
    <row r="15" spans="1:17" ht="15.75" x14ac:dyDescent="0.25">
      <c r="A15" s="292" t="s">
        <v>752</v>
      </c>
      <c r="B15" s="292" t="s">
        <v>37</v>
      </c>
      <c r="C15" s="293">
        <v>64</v>
      </c>
      <c r="D15" s="292" t="s">
        <v>607</v>
      </c>
      <c r="E15" s="256" t="s">
        <v>118</v>
      </c>
      <c r="F15" s="263" t="s">
        <v>612</v>
      </c>
      <c r="G15" s="294">
        <f t="shared" si="0"/>
        <v>2.5</v>
      </c>
      <c r="H15" s="258">
        <v>2.5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259">
        <v>0</v>
      </c>
      <c r="O15" s="259">
        <v>0</v>
      </c>
      <c r="P15" s="259">
        <v>0</v>
      </c>
      <c r="Q15" s="259">
        <v>0</v>
      </c>
    </row>
    <row r="16" spans="1:17" ht="15.75" x14ac:dyDescent="0.25">
      <c r="A16" s="292" t="s">
        <v>752</v>
      </c>
      <c r="B16" s="292" t="s">
        <v>37</v>
      </c>
      <c r="C16" s="293">
        <v>64</v>
      </c>
      <c r="D16" s="292" t="s">
        <v>607</v>
      </c>
      <c r="E16" s="256" t="s">
        <v>118</v>
      </c>
      <c r="F16" s="263" t="s">
        <v>613</v>
      </c>
      <c r="G16" s="294">
        <f t="shared" si="0"/>
        <v>2</v>
      </c>
      <c r="H16" s="258">
        <v>2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</row>
    <row r="17" spans="1:17" ht="15.75" x14ac:dyDescent="0.25">
      <c r="A17" s="292" t="s">
        <v>752</v>
      </c>
      <c r="B17" s="292" t="s">
        <v>37</v>
      </c>
      <c r="C17" s="293">
        <v>64</v>
      </c>
      <c r="D17" s="292" t="s">
        <v>607</v>
      </c>
      <c r="E17" s="256" t="s">
        <v>118</v>
      </c>
      <c r="F17" s="263" t="s">
        <v>614</v>
      </c>
      <c r="G17" s="294">
        <f t="shared" si="0"/>
        <v>2</v>
      </c>
      <c r="H17" s="258">
        <v>2</v>
      </c>
      <c r="I17" s="259">
        <v>0</v>
      </c>
      <c r="J17" s="259">
        <v>0</v>
      </c>
      <c r="K17" s="259">
        <v>0</v>
      </c>
      <c r="L17" s="259">
        <v>0</v>
      </c>
      <c r="M17" s="259">
        <v>0</v>
      </c>
      <c r="N17" s="259">
        <v>0</v>
      </c>
      <c r="O17" s="259">
        <v>0</v>
      </c>
      <c r="P17" s="259">
        <v>0</v>
      </c>
      <c r="Q17" s="259">
        <v>0</v>
      </c>
    </row>
    <row r="18" spans="1:17" ht="15.75" x14ac:dyDescent="0.25">
      <c r="A18" s="292" t="s">
        <v>752</v>
      </c>
      <c r="B18" s="292" t="s">
        <v>37</v>
      </c>
      <c r="C18" s="293">
        <v>64</v>
      </c>
      <c r="D18" s="292" t="s">
        <v>607</v>
      </c>
      <c r="E18" s="256" t="s">
        <v>118</v>
      </c>
      <c r="F18" s="263" t="s">
        <v>237</v>
      </c>
      <c r="G18" s="294">
        <f t="shared" si="0"/>
        <v>1.07</v>
      </c>
      <c r="H18" s="264">
        <v>1.07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265">
        <v>0</v>
      </c>
      <c r="O18" s="265">
        <v>0</v>
      </c>
      <c r="P18" s="265">
        <v>0</v>
      </c>
      <c r="Q18" s="265">
        <v>0</v>
      </c>
    </row>
    <row r="19" spans="1:17" ht="15.75" x14ac:dyDescent="0.25">
      <c r="A19" s="292" t="s">
        <v>752</v>
      </c>
      <c r="B19" s="292" t="s">
        <v>37</v>
      </c>
      <c r="C19" s="293">
        <v>64</v>
      </c>
      <c r="D19" s="292" t="s">
        <v>607</v>
      </c>
      <c r="E19" s="256" t="s">
        <v>118</v>
      </c>
      <c r="F19" s="303" t="s">
        <v>238</v>
      </c>
      <c r="G19" s="294">
        <f t="shared" si="0"/>
        <v>2</v>
      </c>
      <c r="H19" s="264">
        <v>2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</row>
    <row r="20" spans="1:17" ht="47.25" x14ac:dyDescent="0.25">
      <c r="A20" s="292" t="s">
        <v>752</v>
      </c>
      <c r="B20" s="292" t="s">
        <v>37</v>
      </c>
      <c r="C20" s="293">
        <v>64</v>
      </c>
      <c r="D20" s="292" t="s">
        <v>607</v>
      </c>
      <c r="E20" s="297" t="s">
        <v>372</v>
      </c>
      <c r="F20" s="296" t="s">
        <v>239</v>
      </c>
      <c r="G20" s="294">
        <f t="shared" si="0"/>
        <v>12.5</v>
      </c>
      <c r="H20" s="258">
        <v>12.5</v>
      </c>
      <c r="I20" s="259">
        <v>0</v>
      </c>
      <c r="J20" s="259">
        <v>0</v>
      </c>
      <c r="K20" s="259">
        <v>0</v>
      </c>
      <c r="L20" s="259">
        <v>0</v>
      </c>
      <c r="M20" s="259">
        <v>0</v>
      </c>
      <c r="N20" s="259">
        <v>0</v>
      </c>
      <c r="O20" s="259">
        <v>0</v>
      </c>
      <c r="P20" s="259">
        <v>0</v>
      </c>
      <c r="Q20" s="259">
        <v>0</v>
      </c>
    </row>
    <row r="21" spans="1:17" ht="15.75" x14ac:dyDescent="0.25">
      <c r="A21" s="292" t="s">
        <v>752</v>
      </c>
      <c r="B21" s="292" t="s">
        <v>37</v>
      </c>
      <c r="C21" s="293">
        <v>64</v>
      </c>
      <c r="D21" s="292" t="s">
        <v>607</v>
      </c>
      <c r="E21" s="302" t="s">
        <v>118</v>
      </c>
      <c r="F21" s="263" t="s">
        <v>240</v>
      </c>
      <c r="G21" s="294">
        <f t="shared" si="0"/>
        <v>250.66</v>
      </c>
      <c r="H21" s="264">
        <v>250.66</v>
      </c>
      <c r="I21" s="265">
        <v>0</v>
      </c>
      <c r="J21" s="265">
        <v>0</v>
      </c>
      <c r="K21" s="265">
        <v>0</v>
      </c>
      <c r="L21" s="265">
        <v>0</v>
      </c>
      <c r="M21" s="265">
        <v>0</v>
      </c>
      <c r="N21" s="265">
        <v>0</v>
      </c>
      <c r="O21" s="265">
        <v>0</v>
      </c>
      <c r="P21" s="265">
        <v>0</v>
      </c>
      <c r="Q21" s="265">
        <v>0</v>
      </c>
    </row>
    <row r="22" spans="1:17" ht="31.5" x14ac:dyDescent="0.25">
      <c r="A22" s="292" t="s">
        <v>752</v>
      </c>
      <c r="B22" s="292" t="s">
        <v>37</v>
      </c>
      <c r="C22" s="293">
        <v>64</v>
      </c>
      <c r="D22" s="292" t="s">
        <v>607</v>
      </c>
      <c r="E22" s="297" t="s">
        <v>617</v>
      </c>
      <c r="F22" s="263" t="s">
        <v>1013</v>
      </c>
      <c r="G22" s="294">
        <f t="shared" si="0"/>
        <v>44.86</v>
      </c>
      <c r="H22" s="264">
        <v>44.86</v>
      </c>
      <c r="I22" s="265">
        <v>0</v>
      </c>
      <c r="J22" s="265">
        <v>0</v>
      </c>
      <c r="K22" s="265">
        <v>0</v>
      </c>
      <c r="L22" s="265">
        <v>0</v>
      </c>
      <c r="M22" s="265">
        <v>0</v>
      </c>
      <c r="N22" s="265">
        <v>0</v>
      </c>
      <c r="O22" s="265">
        <v>0</v>
      </c>
      <c r="P22" s="265">
        <v>0</v>
      </c>
      <c r="Q22" s="265">
        <v>0</v>
      </c>
    </row>
    <row r="23" spans="1:17" ht="31.5" x14ac:dyDescent="0.25">
      <c r="A23" s="292" t="s">
        <v>752</v>
      </c>
      <c r="B23" s="292" t="s">
        <v>37</v>
      </c>
      <c r="C23" s="293">
        <v>64</v>
      </c>
      <c r="D23" s="292" t="s">
        <v>607</v>
      </c>
      <c r="E23" s="297" t="s">
        <v>1014</v>
      </c>
      <c r="F23" s="257" t="s">
        <v>241</v>
      </c>
      <c r="G23" s="294">
        <f t="shared" si="0"/>
        <v>10.55</v>
      </c>
      <c r="H23" s="258">
        <v>10.55</v>
      </c>
      <c r="I23" s="259">
        <v>0</v>
      </c>
      <c r="J23" s="259">
        <v>0</v>
      </c>
      <c r="K23" s="259">
        <v>0</v>
      </c>
      <c r="L23" s="259">
        <v>0</v>
      </c>
      <c r="M23" s="259">
        <v>0</v>
      </c>
      <c r="N23" s="259">
        <v>0</v>
      </c>
      <c r="O23" s="259">
        <v>0</v>
      </c>
      <c r="P23" s="259">
        <v>0</v>
      </c>
      <c r="Q23" s="259">
        <v>0</v>
      </c>
    </row>
    <row r="24" spans="1:17" ht="31.5" x14ac:dyDescent="0.25">
      <c r="A24" s="292" t="str">
        <f>A23</f>
        <v>NDCP.2</v>
      </c>
      <c r="B24" s="292" t="str">
        <f>B23</f>
        <v>NVBDCP</v>
      </c>
      <c r="C24" s="293">
        <f>C23</f>
        <v>64</v>
      </c>
      <c r="D24" s="292" t="s">
        <v>1008</v>
      </c>
      <c r="E24" s="297" t="str">
        <f>E23</f>
        <v>Capacity building includingTraining</v>
      </c>
      <c r="F24" s="257" t="s">
        <v>978</v>
      </c>
      <c r="G24" s="294">
        <f t="shared" si="0"/>
        <v>7.25</v>
      </c>
      <c r="H24" s="258">
        <v>7.25</v>
      </c>
      <c r="I24" s="259">
        <v>0</v>
      </c>
      <c r="J24" s="259">
        <v>0</v>
      </c>
      <c r="K24" s="259">
        <v>0</v>
      </c>
      <c r="L24" s="259">
        <v>0</v>
      </c>
      <c r="M24" s="259">
        <v>0</v>
      </c>
      <c r="N24" s="259">
        <v>0</v>
      </c>
      <c r="O24" s="259">
        <v>0</v>
      </c>
      <c r="P24" s="259">
        <v>0</v>
      </c>
      <c r="Q24" s="259">
        <v>0</v>
      </c>
    </row>
    <row r="25" spans="1:17" ht="15.75" x14ac:dyDescent="0.25">
      <c r="A25" s="292" t="s">
        <v>752</v>
      </c>
      <c r="B25" s="292" t="s">
        <v>37</v>
      </c>
      <c r="C25" s="293">
        <v>64</v>
      </c>
      <c r="D25" s="292" t="s">
        <v>607</v>
      </c>
      <c r="E25" s="261" t="s">
        <v>24</v>
      </c>
      <c r="F25" s="267" t="s">
        <v>620</v>
      </c>
      <c r="G25" s="294">
        <f t="shared" si="0"/>
        <v>7</v>
      </c>
      <c r="H25" s="264">
        <v>7</v>
      </c>
      <c r="I25" s="265">
        <v>0</v>
      </c>
      <c r="J25" s="265">
        <v>0</v>
      </c>
      <c r="K25" s="265">
        <v>0</v>
      </c>
      <c r="L25" s="265">
        <v>0</v>
      </c>
      <c r="M25" s="265">
        <v>0</v>
      </c>
      <c r="N25" s="265">
        <v>0</v>
      </c>
      <c r="O25" s="265">
        <v>0</v>
      </c>
      <c r="P25" s="265">
        <v>0</v>
      </c>
      <c r="Q25" s="265">
        <v>0</v>
      </c>
    </row>
    <row r="26" spans="1:17" ht="15.75" x14ac:dyDescent="0.25">
      <c r="A26" s="292" t="s">
        <v>752</v>
      </c>
      <c r="B26" s="292" t="s">
        <v>37</v>
      </c>
      <c r="C26" s="293">
        <v>64</v>
      </c>
      <c r="D26" s="292" t="s">
        <v>607</v>
      </c>
      <c r="E26" s="301" t="s">
        <v>24</v>
      </c>
      <c r="F26" s="267" t="s">
        <v>243</v>
      </c>
      <c r="G26" s="294">
        <f t="shared" si="0"/>
        <v>32.24</v>
      </c>
      <c r="H26" s="258">
        <v>1.91</v>
      </c>
      <c r="I26" s="259">
        <v>3.59</v>
      </c>
      <c r="J26" s="259">
        <v>3.05</v>
      </c>
      <c r="K26" s="259">
        <v>3.95</v>
      </c>
      <c r="L26" s="259">
        <v>2.69</v>
      </c>
      <c r="M26" s="259">
        <v>3.17</v>
      </c>
      <c r="N26" s="259">
        <v>4.37</v>
      </c>
      <c r="O26" s="259">
        <v>3.41</v>
      </c>
      <c r="P26" s="259">
        <v>3.41</v>
      </c>
      <c r="Q26" s="259">
        <v>2.69</v>
      </c>
    </row>
    <row r="27" spans="1:17" ht="31.5" x14ac:dyDescent="0.25">
      <c r="A27" s="292" t="s">
        <v>752</v>
      </c>
      <c r="B27" s="292" t="s">
        <v>37</v>
      </c>
      <c r="C27" s="293">
        <v>64</v>
      </c>
      <c r="D27" s="292" t="s">
        <v>607</v>
      </c>
      <c r="E27" s="295" t="s">
        <v>564</v>
      </c>
      <c r="F27" s="257" t="s">
        <v>250</v>
      </c>
      <c r="G27" s="294">
        <f t="shared" si="0"/>
        <v>5.6999999999999993</v>
      </c>
      <c r="H27" s="258">
        <v>0.3</v>
      </c>
      <c r="I27" s="259">
        <v>0.6</v>
      </c>
      <c r="J27" s="259">
        <v>0.6</v>
      </c>
      <c r="K27" s="259">
        <v>0.6</v>
      </c>
      <c r="L27" s="259">
        <v>0.6</v>
      </c>
      <c r="M27" s="259">
        <v>0.6</v>
      </c>
      <c r="N27" s="259">
        <v>0.6</v>
      </c>
      <c r="O27" s="259">
        <v>0.6</v>
      </c>
      <c r="P27" s="259">
        <v>0.6</v>
      </c>
      <c r="Q27" s="259">
        <v>0.6</v>
      </c>
    </row>
    <row r="28" spans="1:17" ht="15.75" x14ac:dyDescent="0.25">
      <c r="A28" s="292" t="s">
        <v>752</v>
      </c>
      <c r="B28" s="292" t="s">
        <v>37</v>
      </c>
      <c r="C28" s="293">
        <v>64</v>
      </c>
      <c r="D28" s="292" t="s">
        <v>1008</v>
      </c>
      <c r="E28" s="295" t="s">
        <v>564</v>
      </c>
      <c r="F28" s="257" t="s">
        <v>244</v>
      </c>
      <c r="G28" s="294">
        <f t="shared" si="0"/>
        <v>4.82</v>
      </c>
      <c r="H28" s="258">
        <v>4.82</v>
      </c>
      <c r="I28" s="259">
        <v>0</v>
      </c>
      <c r="J28" s="259">
        <v>0</v>
      </c>
      <c r="K28" s="259">
        <v>0</v>
      </c>
      <c r="L28" s="259">
        <v>0</v>
      </c>
      <c r="M28" s="259">
        <v>0</v>
      </c>
      <c r="N28" s="259">
        <v>0</v>
      </c>
      <c r="O28" s="259">
        <v>0</v>
      </c>
      <c r="P28" s="259">
        <v>0</v>
      </c>
      <c r="Q28" s="259">
        <v>0</v>
      </c>
    </row>
    <row r="29" spans="1:17" ht="27" customHeight="1" x14ac:dyDescent="0.25">
      <c r="A29" s="292" t="s">
        <v>752</v>
      </c>
      <c r="B29" s="292" t="s">
        <v>37</v>
      </c>
      <c r="C29" s="293">
        <v>64</v>
      </c>
      <c r="D29" s="292" t="s">
        <v>1008</v>
      </c>
      <c r="E29" s="295" t="s">
        <v>564</v>
      </c>
      <c r="F29" s="257" t="s">
        <v>1015</v>
      </c>
      <c r="G29" s="294">
        <f t="shared" si="0"/>
        <v>7.56</v>
      </c>
      <c r="H29" s="258">
        <v>7.56</v>
      </c>
      <c r="I29" s="259">
        <v>0</v>
      </c>
      <c r="J29" s="259">
        <v>0</v>
      </c>
      <c r="K29" s="259">
        <v>0</v>
      </c>
      <c r="L29" s="259">
        <v>0</v>
      </c>
      <c r="M29" s="259">
        <v>0</v>
      </c>
      <c r="N29" s="259">
        <v>0</v>
      </c>
      <c r="O29" s="259">
        <v>0</v>
      </c>
      <c r="P29" s="259">
        <v>0</v>
      </c>
      <c r="Q29" s="259">
        <v>0</v>
      </c>
    </row>
    <row r="30" spans="1:17" ht="15.75" x14ac:dyDescent="0.25">
      <c r="A30" s="292" t="s">
        <v>752</v>
      </c>
      <c r="B30" s="292" t="s">
        <v>37</v>
      </c>
      <c r="C30" s="293">
        <v>64</v>
      </c>
      <c r="D30" s="292" t="s">
        <v>607</v>
      </c>
      <c r="E30" s="295" t="s">
        <v>564</v>
      </c>
      <c r="F30" s="257" t="s">
        <v>245</v>
      </c>
      <c r="G30" s="294">
        <f t="shared" si="0"/>
        <v>29.998689999999996</v>
      </c>
      <c r="H30" s="258">
        <f>12.46*76.9%</f>
        <v>9.5817400000000017</v>
      </c>
      <c r="I30" s="259">
        <f>2.31*76.9%</f>
        <v>1.7763900000000001</v>
      </c>
      <c r="J30" s="259">
        <f>2.31*76.9%</f>
        <v>1.7763900000000001</v>
      </c>
      <c r="K30" s="259">
        <f>2.31*76.9%</f>
        <v>1.7763900000000001</v>
      </c>
      <c r="L30" s="259">
        <f>2.31*76.9%</f>
        <v>1.7763900000000001</v>
      </c>
      <c r="M30" s="259">
        <f>4.47*76.9%</f>
        <v>3.43743</v>
      </c>
      <c r="N30" s="259">
        <f>4.47*76.9%</f>
        <v>3.43743</v>
      </c>
      <c r="O30" s="259">
        <f>3.03*76.9%</f>
        <v>2.3300700000000001</v>
      </c>
      <c r="P30" s="259">
        <f>3.03*76.9%</f>
        <v>2.3300700000000001</v>
      </c>
      <c r="Q30" s="259">
        <f>2.31*76.9%</f>
        <v>1.7763900000000001</v>
      </c>
    </row>
    <row r="31" spans="1:17" ht="31.5" x14ac:dyDescent="0.25">
      <c r="A31" s="292" t="s">
        <v>752</v>
      </c>
      <c r="B31" s="292" t="s">
        <v>37</v>
      </c>
      <c r="C31" s="293">
        <v>64</v>
      </c>
      <c r="D31" s="292" t="s">
        <v>1008</v>
      </c>
      <c r="E31" s="295" t="s">
        <v>564</v>
      </c>
      <c r="F31" s="257" t="s">
        <v>246</v>
      </c>
      <c r="G31" s="294">
        <f t="shared" si="0"/>
        <v>39.909999999999997</v>
      </c>
      <c r="H31" s="258">
        <v>6</v>
      </c>
      <c r="I31" s="259">
        <v>3.34</v>
      </c>
      <c r="J31" s="259">
        <v>3.34</v>
      </c>
      <c r="K31" s="259">
        <v>3.34</v>
      </c>
      <c r="L31" s="259">
        <v>3.34</v>
      </c>
      <c r="M31" s="259">
        <v>4.78</v>
      </c>
      <c r="N31" s="259">
        <v>4.78</v>
      </c>
      <c r="O31" s="259">
        <v>3.82</v>
      </c>
      <c r="P31" s="259">
        <v>3.83</v>
      </c>
      <c r="Q31" s="259">
        <v>3.34</v>
      </c>
    </row>
    <row r="32" spans="1:17" ht="15.75" x14ac:dyDescent="0.25">
      <c r="A32" s="292" t="s">
        <v>752</v>
      </c>
      <c r="B32" s="292" t="s">
        <v>37</v>
      </c>
      <c r="C32" s="293">
        <v>64</v>
      </c>
      <c r="D32" s="292" t="s">
        <v>1008</v>
      </c>
      <c r="E32" s="295" t="s">
        <v>564</v>
      </c>
      <c r="F32" s="267" t="s">
        <v>247</v>
      </c>
      <c r="G32" s="294">
        <f t="shared" si="0"/>
        <v>5.9999999999999991</v>
      </c>
      <c r="H32" s="258">
        <v>0.6</v>
      </c>
      <c r="I32" s="259">
        <v>0.6</v>
      </c>
      <c r="J32" s="259">
        <v>0.6</v>
      </c>
      <c r="K32" s="259">
        <v>0.6</v>
      </c>
      <c r="L32" s="259">
        <v>0.6</v>
      </c>
      <c r="M32" s="259">
        <v>0.6</v>
      </c>
      <c r="N32" s="259">
        <v>0.6</v>
      </c>
      <c r="O32" s="259">
        <v>0.6</v>
      </c>
      <c r="P32" s="259">
        <v>0.6</v>
      </c>
      <c r="Q32" s="259">
        <v>0.6</v>
      </c>
    </row>
    <row r="33" spans="1:17" ht="15.75" x14ac:dyDescent="0.25">
      <c r="A33" s="292" t="s">
        <v>752</v>
      </c>
      <c r="B33" s="292" t="s">
        <v>37</v>
      </c>
      <c r="C33" s="293">
        <v>64</v>
      </c>
      <c r="D33" s="292" t="s">
        <v>1008</v>
      </c>
      <c r="E33" s="295" t="s">
        <v>564</v>
      </c>
      <c r="F33" s="267" t="s">
        <v>622</v>
      </c>
      <c r="G33" s="294">
        <f t="shared" si="0"/>
        <v>0</v>
      </c>
      <c r="H33" s="258">
        <v>0</v>
      </c>
      <c r="I33" s="259">
        <v>0</v>
      </c>
      <c r="J33" s="259">
        <v>0</v>
      </c>
      <c r="K33" s="259">
        <v>0</v>
      </c>
      <c r="L33" s="259">
        <v>0</v>
      </c>
      <c r="M33" s="259">
        <v>0</v>
      </c>
      <c r="N33" s="259">
        <v>0</v>
      </c>
      <c r="O33" s="259">
        <v>0</v>
      </c>
      <c r="P33" s="259">
        <v>0</v>
      </c>
      <c r="Q33" s="259">
        <v>0</v>
      </c>
    </row>
    <row r="34" spans="1:17" ht="15.75" x14ac:dyDescent="0.25">
      <c r="A34" s="292" t="s">
        <v>752</v>
      </c>
      <c r="B34" s="292" t="s">
        <v>37</v>
      </c>
      <c r="C34" s="293">
        <v>64</v>
      </c>
      <c r="D34" s="292" t="s">
        <v>607</v>
      </c>
      <c r="E34" s="256" t="s">
        <v>564</v>
      </c>
      <c r="F34" s="267" t="s">
        <v>624</v>
      </c>
      <c r="G34" s="294">
        <f t="shared" si="0"/>
        <v>2.4</v>
      </c>
      <c r="H34" s="258">
        <v>0</v>
      </c>
      <c r="I34" s="259">
        <v>0</v>
      </c>
      <c r="J34" s="259">
        <v>0</v>
      </c>
      <c r="K34" s="259">
        <v>0</v>
      </c>
      <c r="L34" s="259">
        <v>0</v>
      </c>
      <c r="M34" s="259">
        <v>0</v>
      </c>
      <c r="N34" s="259">
        <v>2.4</v>
      </c>
      <c r="O34" s="259">
        <v>0</v>
      </c>
      <c r="P34" s="259">
        <v>0</v>
      </c>
      <c r="Q34" s="259">
        <v>0</v>
      </c>
    </row>
    <row r="35" spans="1:17" ht="15.75" x14ac:dyDescent="0.25">
      <c r="A35" s="292" t="s">
        <v>752</v>
      </c>
      <c r="B35" s="292" t="s">
        <v>37</v>
      </c>
      <c r="C35" s="293">
        <v>64</v>
      </c>
      <c r="D35" s="292" t="s">
        <v>1008</v>
      </c>
      <c r="E35" s="256" t="s">
        <v>564</v>
      </c>
      <c r="F35" s="257" t="s">
        <v>625</v>
      </c>
      <c r="G35" s="294">
        <f t="shared" si="0"/>
        <v>2</v>
      </c>
      <c r="H35" s="258">
        <v>0</v>
      </c>
      <c r="I35" s="259">
        <v>0</v>
      </c>
      <c r="J35" s="259">
        <v>0</v>
      </c>
      <c r="K35" s="259">
        <v>0</v>
      </c>
      <c r="L35" s="259">
        <v>0</v>
      </c>
      <c r="M35" s="259">
        <v>0</v>
      </c>
      <c r="N35" s="259">
        <v>2</v>
      </c>
      <c r="O35" s="259">
        <v>0</v>
      </c>
      <c r="P35" s="259">
        <v>0</v>
      </c>
      <c r="Q35" s="259">
        <v>0</v>
      </c>
    </row>
    <row r="36" spans="1:17" ht="31.5" x14ac:dyDescent="0.25">
      <c r="A36" s="292" t="s">
        <v>752</v>
      </c>
      <c r="B36" s="292" t="s">
        <v>37</v>
      </c>
      <c r="C36" s="293">
        <v>64</v>
      </c>
      <c r="D36" s="292" t="s">
        <v>607</v>
      </c>
      <c r="E36" s="261" t="s">
        <v>626</v>
      </c>
      <c r="F36" s="257" t="s">
        <v>627</v>
      </c>
      <c r="G36" s="294">
        <f t="shared" si="0"/>
        <v>1</v>
      </c>
      <c r="H36" s="258">
        <v>0.5</v>
      </c>
      <c r="I36" s="259">
        <v>0</v>
      </c>
      <c r="J36" s="259">
        <v>0</v>
      </c>
      <c r="K36" s="259">
        <v>0</v>
      </c>
      <c r="L36" s="259">
        <v>0</v>
      </c>
      <c r="M36" s="259">
        <v>0</v>
      </c>
      <c r="N36" s="259">
        <v>0.5</v>
      </c>
      <c r="O36" s="259">
        <v>0</v>
      </c>
      <c r="P36" s="259">
        <v>0</v>
      </c>
      <c r="Q36" s="259">
        <v>0</v>
      </c>
    </row>
    <row r="37" spans="1:17" ht="47.25" x14ac:dyDescent="0.25">
      <c r="A37" s="292" t="s">
        <v>752</v>
      </c>
      <c r="B37" s="292" t="s">
        <v>37</v>
      </c>
      <c r="C37" s="293">
        <v>64</v>
      </c>
      <c r="D37" s="292" t="s">
        <v>607</v>
      </c>
      <c r="E37" s="261" t="s">
        <v>626</v>
      </c>
      <c r="F37" s="257" t="s">
        <v>229</v>
      </c>
      <c r="G37" s="294">
        <f t="shared" si="0"/>
        <v>4.999104</v>
      </c>
      <c r="H37" s="258">
        <v>0</v>
      </c>
      <c r="I37" s="259">
        <v>0</v>
      </c>
      <c r="J37" s="259">
        <v>0</v>
      </c>
      <c r="K37" s="259">
        <v>0</v>
      </c>
      <c r="L37" s="259">
        <v>0</v>
      </c>
      <c r="M37" s="259">
        <f>6.72*31.56%</f>
        <v>2.1208320000000001</v>
      </c>
      <c r="N37" s="259">
        <f>4.72*31.56%</f>
        <v>1.4896319999999998</v>
      </c>
      <c r="O37" s="259">
        <f>2.4*31.56%</f>
        <v>0.75744</v>
      </c>
      <c r="P37" s="259">
        <f>2*31.56%</f>
        <v>0.63119999999999998</v>
      </c>
      <c r="Q37" s="259">
        <v>0</v>
      </c>
    </row>
    <row r="38" spans="1:17" ht="31.5" x14ac:dyDescent="0.25">
      <c r="A38" s="292" t="s">
        <v>752</v>
      </c>
      <c r="B38" s="292" t="s">
        <v>37</v>
      </c>
      <c r="C38" s="293">
        <v>66</v>
      </c>
      <c r="D38" s="292" t="s">
        <v>618</v>
      </c>
      <c r="E38" s="297" t="s">
        <v>617</v>
      </c>
      <c r="F38" s="296" t="s">
        <v>619</v>
      </c>
      <c r="G38" s="294">
        <f t="shared" si="0"/>
        <v>0.22</v>
      </c>
      <c r="H38" s="258">
        <v>0.22</v>
      </c>
      <c r="I38" s="259">
        <v>0</v>
      </c>
      <c r="J38" s="259">
        <v>0</v>
      </c>
      <c r="K38" s="259">
        <v>0</v>
      </c>
      <c r="L38" s="259">
        <v>0</v>
      </c>
      <c r="M38" s="259">
        <v>0</v>
      </c>
      <c r="N38" s="259">
        <v>0</v>
      </c>
      <c r="O38" s="259">
        <v>0</v>
      </c>
      <c r="P38" s="259">
        <v>0</v>
      </c>
      <c r="Q38" s="259">
        <v>0</v>
      </c>
    </row>
    <row r="39" spans="1:17" ht="15.75" x14ac:dyDescent="0.25">
      <c r="A39" s="292" t="s">
        <v>752</v>
      </c>
      <c r="B39" s="292" t="s">
        <v>37</v>
      </c>
      <c r="C39" s="293">
        <v>67</v>
      </c>
      <c r="D39" s="292" t="s">
        <v>608</v>
      </c>
      <c r="E39" s="256" t="s">
        <v>398</v>
      </c>
      <c r="F39" s="257" t="s">
        <v>1007</v>
      </c>
      <c r="G39" s="294">
        <f t="shared" si="0"/>
        <v>4.3599999999999994</v>
      </c>
      <c r="H39" s="258">
        <v>0</v>
      </c>
      <c r="I39" s="259">
        <v>0.67</v>
      </c>
      <c r="J39" s="259">
        <v>0.43</v>
      </c>
      <c r="K39" s="259">
        <v>0.52</v>
      </c>
      <c r="L39" s="259">
        <v>0.34</v>
      </c>
      <c r="M39" s="259">
        <v>0.75</v>
      </c>
      <c r="N39" s="259">
        <v>0.76</v>
      </c>
      <c r="O39" s="259">
        <v>0.33</v>
      </c>
      <c r="P39" s="259">
        <v>0.31</v>
      </c>
      <c r="Q39" s="259">
        <v>0.25</v>
      </c>
    </row>
    <row r="40" spans="1:17" ht="31.5" x14ac:dyDescent="0.25">
      <c r="A40" s="292" t="s">
        <v>752</v>
      </c>
      <c r="B40" s="292" t="s">
        <v>37</v>
      </c>
      <c r="C40" s="293">
        <v>67</v>
      </c>
      <c r="D40" s="292" t="s">
        <v>608</v>
      </c>
      <c r="E40" s="261" t="s">
        <v>428</v>
      </c>
      <c r="F40" s="257" t="s">
        <v>609</v>
      </c>
      <c r="G40" s="294">
        <f t="shared" si="0"/>
        <v>1.5200000000000002</v>
      </c>
      <c r="H40" s="258">
        <v>0.32</v>
      </c>
      <c r="I40" s="259">
        <v>0.2</v>
      </c>
      <c r="J40" s="259">
        <v>0.2</v>
      </c>
      <c r="K40" s="259">
        <v>0.1</v>
      </c>
      <c r="L40" s="259">
        <v>0.1</v>
      </c>
      <c r="M40" s="259">
        <v>0.1</v>
      </c>
      <c r="N40" s="259">
        <v>0.2</v>
      </c>
      <c r="O40" s="259">
        <v>0.1</v>
      </c>
      <c r="P40" s="259">
        <v>0.1</v>
      </c>
      <c r="Q40" s="259">
        <v>0.1</v>
      </c>
    </row>
    <row r="41" spans="1:17" ht="31.5" x14ac:dyDescent="0.25">
      <c r="A41" s="292" t="s">
        <v>752</v>
      </c>
      <c r="B41" s="292" t="s">
        <v>37</v>
      </c>
      <c r="C41" s="293">
        <v>67</v>
      </c>
      <c r="D41" s="292" t="s">
        <v>608</v>
      </c>
      <c r="E41" s="261" t="s">
        <v>428</v>
      </c>
      <c r="F41" s="257" t="s">
        <v>228</v>
      </c>
      <c r="G41" s="294">
        <f t="shared" si="0"/>
        <v>0.89999999999999991</v>
      </c>
      <c r="H41" s="258">
        <v>0</v>
      </c>
      <c r="I41" s="259">
        <v>0.1</v>
      </c>
      <c r="J41" s="259">
        <v>0.1</v>
      </c>
      <c r="K41" s="259">
        <v>0.1</v>
      </c>
      <c r="L41" s="259">
        <v>0.1</v>
      </c>
      <c r="M41" s="259">
        <v>0.1</v>
      </c>
      <c r="N41" s="259">
        <v>0.1</v>
      </c>
      <c r="O41" s="259">
        <v>0.1</v>
      </c>
      <c r="P41" s="259">
        <v>0.1</v>
      </c>
      <c r="Q41" s="259">
        <v>0.1</v>
      </c>
    </row>
    <row r="42" spans="1:17" ht="31.5" x14ac:dyDescent="0.25">
      <c r="A42" s="292" t="s">
        <v>752</v>
      </c>
      <c r="B42" s="292" t="s">
        <v>37</v>
      </c>
      <c r="C42" s="293">
        <v>67</v>
      </c>
      <c r="D42" s="292" t="s">
        <v>608</v>
      </c>
      <c r="E42" s="261" t="s">
        <v>428</v>
      </c>
      <c r="F42" s="257" t="s">
        <v>235</v>
      </c>
      <c r="G42" s="294">
        <f t="shared" si="0"/>
        <v>3.42</v>
      </c>
      <c r="H42" s="258">
        <v>0</v>
      </c>
      <c r="I42" s="259">
        <v>0.56999999999999995</v>
      </c>
      <c r="J42" s="259">
        <v>0.56999999999999995</v>
      </c>
      <c r="K42" s="259">
        <v>0.28999999999999998</v>
      </c>
      <c r="L42" s="259">
        <v>0.28999999999999998</v>
      </c>
      <c r="M42" s="259">
        <v>0.28999999999999998</v>
      </c>
      <c r="N42" s="259">
        <v>0.56999999999999995</v>
      </c>
      <c r="O42" s="259">
        <v>0.28000000000000003</v>
      </c>
      <c r="P42" s="259">
        <v>0.28000000000000003</v>
      </c>
      <c r="Q42" s="259">
        <v>0.28000000000000003</v>
      </c>
    </row>
    <row r="43" spans="1:17" ht="15.75" x14ac:dyDescent="0.25">
      <c r="A43" s="292" t="s">
        <v>752</v>
      </c>
      <c r="B43" s="292" t="s">
        <v>37</v>
      </c>
      <c r="C43" s="293">
        <v>67</v>
      </c>
      <c r="D43" s="292" t="s">
        <v>608</v>
      </c>
      <c r="E43" s="256" t="s">
        <v>118</v>
      </c>
      <c r="F43" s="266" t="s">
        <v>615</v>
      </c>
      <c r="G43" s="294">
        <f t="shared" si="0"/>
        <v>0.65</v>
      </c>
      <c r="H43" s="258">
        <v>0.65</v>
      </c>
      <c r="I43" s="259">
        <v>0</v>
      </c>
      <c r="J43" s="259">
        <v>0</v>
      </c>
      <c r="K43" s="259">
        <v>0</v>
      </c>
      <c r="L43" s="259">
        <v>0</v>
      </c>
      <c r="M43" s="259">
        <v>0</v>
      </c>
      <c r="N43" s="259">
        <v>0</v>
      </c>
      <c r="O43" s="259">
        <v>0</v>
      </c>
      <c r="P43" s="259">
        <v>0</v>
      </c>
      <c r="Q43" s="259">
        <v>0</v>
      </c>
    </row>
    <row r="44" spans="1:17" ht="15.75" customHeight="1" x14ac:dyDescent="0.25">
      <c r="A44" s="292" t="s">
        <v>752</v>
      </c>
      <c r="B44" s="292" t="s">
        <v>37</v>
      </c>
      <c r="C44" s="293">
        <v>67</v>
      </c>
      <c r="D44" s="292" t="s">
        <v>608</v>
      </c>
      <c r="E44" s="256" t="s">
        <v>118</v>
      </c>
      <c r="F44" s="266" t="s">
        <v>616</v>
      </c>
      <c r="G44" s="294">
        <f t="shared" si="0"/>
        <v>0.8</v>
      </c>
      <c r="H44" s="258">
        <v>0.8</v>
      </c>
      <c r="I44" s="259">
        <v>0</v>
      </c>
      <c r="J44" s="259">
        <v>0</v>
      </c>
      <c r="K44" s="259">
        <v>0</v>
      </c>
      <c r="L44" s="259">
        <v>0</v>
      </c>
      <c r="M44" s="259">
        <v>0</v>
      </c>
      <c r="N44" s="259">
        <v>0</v>
      </c>
      <c r="O44" s="259">
        <v>0</v>
      </c>
      <c r="P44" s="259">
        <v>0</v>
      </c>
      <c r="Q44" s="259">
        <v>0</v>
      </c>
    </row>
    <row r="45" spans="1:17" ht="31.5" x14ac:dyDescent="0.25">
      <c r="A45" s="292" t="s">
        <v>752</v>
      </c>
      <c r="B45" s="292" t="s">
        <v>37</v>
      </c>
      <c r="C45" s="293">
        <v>67</v>
      </c>
      <c r="D45" s="292" t="s">
        <v>608</v>
      </c>
      <c r="E45" s="297" t="s">
        <v>617</v>
      </c>
      <c r="F45" s="263" t="s">
        <v>1011</v>
      </c>
      <c r="G45" s="294">
        <f t="shared" si="0"/>
        <v>2.23</v>
      </c>
      <c r="H45" s="258">
        <v>2.23</v>
      </c>
      <c r="I45" s="259">
        <v>0</v>
      </c>
      <c r="J45" s="259">
        <v>0</v>
      </c>
      <c r="K45" s="259">
        <v>0</v>
      </c>
      <c r="L45" s="259">
        <v>0</v>
      </c>
      <c r="M45" s="259">
        <v>0</v>
      </c>
      <c r="N45" s="259">
        <v>0</v>
      </c>
      <c r="O45" s="259">
        <v>0</v>
      </c>
      <c r="P45" s="259">
        <v>0</v>
      </c>
      <c r="Q45" s="259">
        <v>0</v>
      </c>
    </row>
    <row r="46" spans="1:17" ht="15.75" customHeight="1" x14ac:dyDescent="0.25">
      <c r="A46" s="292" t="s">
        <v>752</v>
      </c>
      <c r="B46" s="292" t="s">
        <v>37</v>
      </c>
      <c r="C46" s="293">
        <v>67</v>
      </c>
      <c r="D46" s="292" t="s">
        <v>608</v>
      </c>
      <c r="E46" s="297" t="s">
        <v>372</v>
      </c>
      <c r="F46" s="263" t="s">
        <v>1012</v>
      </c>
      <c r="G46" s="294">
        <f t="shared" si="0"/>
        <v>8.4</v>
      </c>
      <c r="H46" s="258">
        <v>8.4</v>
      </c>
      <c r="I46" s="259">
        <v>0</v>
      </c>
      <c r="J46" s="259">
        <v>0</v>
      </c>
      <c r="K46" s="259">
        <v>0</v>
      </c>
      <c r="L46" s="259">
        <v>0</v>
      </c>
      <c r="M46" s="259">
        <v>0</v>
      </c>
      <c r="N46" s="259">
        <v>0</v>
      </c>
      <c r="O46" s="259">
        <v>0</v>
      </c>
      <c r="P46" s="259">
        <v>0</v>
      </c>
      <c r="Q46" s="259">
        <v>0</v>
      </c>
    </row>
    <row r="47" spans="1:17" ht="15.75" x14ac:dyDescent="0.25">
      <c r="A47" s="292" t="s">
        <v>752</v>
      </c>
      <c r="B47" s="292" t="s">
        <v>37</v>
      </c>
      <c r="C47" s="293">
        <v>67</v>
      </c>
      <c r="D47" s="292" t="s">
        <v>608</v>
      </c>
      <c r="E47" s="261" t="s">
        <v>24</v>
      </c>
      <c r="F47" s="257" t="s">
        <v>621</v>
      </c>
      <c r="G47" s="294">
        <f t="shared" si="0"/>
        <v>13.690000000000001</v>
      </c>
      <c r="H47" s="258">
        <v>1.35</v>
      </c>
      <c r="I47" s="259">
        <v>1.82</v>
      </c>
      <c r="J47" s="259">
        <v>1.5</v>
      </c>
      <c r="K47" s="259">
        <v>1.82</v>
      </c>
      <c r="L47" s="259">
        <v>1.1000000000000001</v>
      </c>
      <c r="M47" s="259">
        <v>1.1000000000000001</v>
      </c>
      <c r="N47" s="259">
        <v>1.74</v>
      </c>
      <c r="O47" s="259">
        <v>1.34</v>
      </c>
      <c r="P47" s="259">
        <v>0.88</v>
      </c>
      <c r="Q47" s="259">
        <v>1.04</v>
      </c>
    </row>
    <row r="48" spans="1:17" ht="15.75" x14ac:dyDescent="0.25">
      <c r="A48" s="292" t="s">
        <v>752</v>
      </c>
      <c r="B48" s="292" t="s">
        <v>37</v>
      </c>
      <c r="C48" s="293">
        <v>67</v>
      </c>
      <c r="D48" s="292" t="s">
        <v>608</v>
      </c>
      <c r="E48" s="256" t="s">
        <v>564</v>
      </c>
      <c r="F48" s="257" t="s">
        <v>623</v>
      </c>
      <c r="G48" s="294">
        <f t="shared" si="0"/>
        <v>0.24</v>
      </c>
      <c r="H48" s="258">
        <v>0.08</v>
      </c>
      <c r="I48" s="259">
        <v>0.08</v>
      </c>
      <c r="J48" s="259">
        <v>0</v>
      </c>
      <c r="K48" s="259">
        <v>0</v>
      </c>
      <c r="L48" s="259">
        <v>0</v>
      </c>
      <c r="M48" s="259">
        <v>0</v>
      </c>
      <c r="N48" s="259">
        <v>0.08</v>
      </c>
      <c r="O48" s="259">
        <v>0</v>
      </c>
      <c r="P48" s="259">
        <v>0</v>
      </c>
      <c r="Q48" s="259">
        <v>0</v>
      </c>
    </row>
    <row r="49" spans="1:17" ht="31.5" x14ac:dyDescent="0.25">
      <c r="A49" s="292" t="s">
        <v>752</v>
      </c>
      <c r="B49" s="298" t="s">
        <v>37</v>
      </c>
      <c r="C49" s="293">
        <v>67</v>
      </c>
      <c r="D49" s="298" t="s">
        <v>608</v>
      </c>
      <c r="E49" s="261" t="s">
        <v>626</v>
      </c>
      <c r="F49" s="262" t="s">
        <v>242</v>
      </c>
      <c r="G49" s="294">
        <f t="shared" si="0"/>
        <v>2</v>
      </c>
      <c r="H49" s="268">
        <v>0</v>
      </c>
      <c r="I49" s="269">
        <v>1</v>
      </c>
      <c r="J49" s="269">
        <v>0</v>
      </c>
      <c r="K49" s="269">
        <v>0</v>
      </c>
      <c r="L49" s="269">
        <v>0</v>
      </c>
      <c r="M49" s="269">
        <v>0</v>
      </c>
      <c r="N49" s="269">
        <v>1</v>
      </c>
      <c r="O49" s="269">
        <v>0</v>
      </c>
      <c r="P49" s="269">
        <v>0</v>
      </c>
      <c r="Q49" s="259">
        <v>0</v>
      </c>
    </row>
    <row r="50" spans="1:17" s="270" customFormat="1" ht="31.5" customHeight="1" x14ac:dyDescent="0.25">
      <c r="A50" s="299"/>
      <c r="B50" s="299"/>
      <c r="C50" s="299"/>
      <c r="D50" s="299"/>
      <c r="E50" s="299"/>
      <c r="F50" s="299" t="s">
        <v>20</v>
      </c>
      <c r="G50" s="300">
        <f t="shared" ref="G50:Q50" si="2">SUM(G4:G49)</f>
        <v>768.57779399999993</v>
      </c>
      <c r="H50" s="300">
        <f t="shared" si="2"/>
        <v>463.4317400000001</v>
      </c>
      <c r="I50" s="300">
        <f t="shared" si="2"/>
        <v>24.14639</v>
      </c>
      <c r="J50" s="300">
        <f t="shared" si="2"/>
        <v>20.386390000000002</v>
      </c>
      <c r="K50" s="300">
        <f t="shared" si="2"/>
        <v>20.366390000000003</v>
      </c>
      <c r="L50" s="300">
        <f t="shared" si="2"/>
        <v>18.116390000000003</v>
      </c>
      <c r="M50" s="300">
        <f t="shared" si="2"/>
        <v>68.368262000000001</v>
      </c>
      <c r="N50" s="300">
        <f t="shared" si="2"/>
        <v>65.747062</v>
      </c>
      <c r="O50" s="300">
        <f t="shared" si="2"/>
        <v>40.807510000000015</v>
      </c>
      <c r="P50" s="300">
        <f t="shared" si="2"/>
        <v>28.81127</v>
      </c>
      <c r="Q50" s="300">
        <f t="shared" si="2"/>
        <v>18.396390000000004</v>
      </c>
    </row>
  </sheetData>
  <autoFilter ref="A3:Q50" xr:uid="{00000000-0009-0000-0000-00001F000000}">
    <sortState xmlns:xlrd2="http://schemas.microsoft.com/office/spreadsheetml/2017/richdata2" ref="A4:Q50">
      <sortCondition ref="C3:C50"/>
    </sortState>
  </autoFilter>
  <mergeCells count="1">
    <mergeCell ref="A1:G1"/>
  </mergeCells>
  <printOptions gridLines="1"/>
  <pageMargins left="0.25" right="0.25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F3B1-88CC-4702-BBA7-FEDFF5698CEB}">
  <sheetPr>
    <pageSetUpPr fitToPage="1"/>
  </sheetPr>
  <dimension ref="A1:M64"/>
  <sheetViews>
    <sheetView view="pageBreakPreview" zoomScale="130" zoomScaleNormal="110" zoomScaleSheetLayoutView="130" workbookViewId="0">
      <pane xSplit="2" ySplit="2" topLeftCell="C3" activePane="bottomRight" state="frozen"/>
      <selection activeCell="F5" sqref="F5"/>
      <selection pane="topRight" activeCell="F5" sqref="F5"/>
      <selection pane="bottomLeft" activeCell="F5" sqref="F5"/>
      <selection pane="bottomRight" activeCell="J54" sqref="J54"/>
    </sheetView>
  </sheetViews>
  <sheetFormatPr defaultColWidth="8.85546875" defaultRowHeight="15.75" x14ac:dyDescent="0.25"/>
  <cols>
    <col min="1" max="1" width="8.85546875" style="141"/>
    <col min="2" max="2" width="35.7109375" style="132" customWidth="1"/>
    <col min="3" max="13" width="12.85546875" style="142" customWidth="1"/>
    <col min="14" max="16384" width="8.85546875" style="132"/>
  </cols>
  <sheetData>
    <row r="1" spans="1:13" x14ac:dyDescent="0.25">
      <c r="A1" s="334" t="s">
        <v>1004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s="134" customFormat="1" ht="31.5" x14ac:dyDescent="0.25">
      <c r="A2" s="133" t="s">
        <v>17</v>
      </c>
      <c r="B2" s="133" t="s">
        <v>18</v>
      </c>
      <c r="C2" s="133" t="s">
        <v>836</v>
      </c>
      <c r="D2" s="133" t="s">
        <v>3</v>
      </c>
      <c r="E2" s="133" t="s">
        <v>4</v>
      </c>
      <c r="F2" s="133" t="s">
        <v>5</v>
      </c>
      <c r="G2" s="133" t="s">
        <v>6</v>
      </c>
      <c r="H2" s="133" t="s">
        <v>7</v>
      </c>
      <c r="I2" s="133" t="s">
        <v>8</v>
      </c>
      <c r="J2" s="133" t="s">
        <v>9</v>
      </c>
      <c r="K2" s="133" t="s">
        <v>10</v>
      </c>
      <c r="L2" s="133" t="s">
        <v>11</v>
      </c>
      <c r="M2" s="133" t="s">
        <v>12</v>
      </c>
    </row>
    <row r="3" spans="1:13" s="138" customFormat="1" x14ac:dyDescent="0.25">
      <c r="A3" s="135">
        <v>1</v>
      </c>
      <c r="B3" s="136" t="s">
        <v>800</v>
      </c>
      <c r="C3" s="137">
        <f>RCH!G127</f>
        <v>1484.3071</v>
      </c>
      <c r="D3" s="137">
        <f>RCH!H127</f>
        <v>401.43420000000003</v>
      </c>
      <c r="E3" s="137">
        <f>RCH!I127</f>
        <v>244.94299999999996</v>
      </c>
      <c r="F3" s="137">
        <f>RCH!J127</f>
        <v>140.78950000000003</v>
      </c>
      <c r="G3" s="137">
        <f>RCH!K127</f>
        <v>121.7719</v>
      </c>
      <c r="H3" s="137">
        <f>RCH!L127</f>
        <v>78.627599999999987</v>
      </c>
      <c r="I3" s="137">
        <f>RCH!M127</f>
        <v>129.7749</v>
      </c>
      <c r="J3" s="137">
        <f>RCH!N127</f>
        <v>144.57800000000009</v>
      </c>
      <c r="K3" s="137">
        <f>RCH!O127</f>
        <v>91.012999999999977</v>
      </c>
      <c r="L3" s="137">
        <f>RCH!P127</f>
        <v>72.116000000000014</v>
      </c>
      <c r="M3" s="137">
        <f>RCH!Q127</f>
        <v>59.259000000000007</v>
      </c>
    </row>
    <row r="4" spans="1:13" s="138" customFormat="1" x14ac:dyDescent="0.25">
      <c r="A4" s="135">
        <v>2</v>
      </c>
      <c r="B4" s="136" t="s">
        <v>822</v>
      </c>
      <c r="C4" s="137">
        <f>'RKSK &amp; SHP'!G27</f>
        <v>230.48500000000001</v>
      </c>
      <c r="D4" s="137">
        <f>'RKSK &amp; SHP'!H27</f>
        <v>79.84</v>
      </c>
      <c r="E4" s="137">
        <f>'RKSK &amp; SHP'!I27</f>
        <v>20.092999999999996</v>
      </c>
      <c r="F4" s="137">
        <f>'RKSK &amp; SHP'!J27</f>
        <v>27.570999999999998</v>
      </c>
      <c r="G4" s="137">
        <f>'RKSK &amp; SHP'!L27</f>
        <v>0</v>
      </c>
      <c r="H4" s="137">
        <f>'RKSK &amp; SHP'!K27</f>
        <v>22.921999999999997</v>
      </c>
      <c r="I4" s="137">
        <f>'RKSK &amp; SHP'!M27</f>
        <v>23.497</v>
      </c>
      <c r="J4" s="137">
        <f>'RKSK &amp; SHP'!N27</f>
        <v>31.964000000000002</v>
      </c>
      <c r="K4" s="137">
        <f>'RKSK &amp; SHP'!O27</f>
        <v>11.436</v>
      </c>
      <c r="L4" s="137">
        <f>'RKSK &amp; SHP'!Q27</f>
        <v>0</v>
      </c>
      <c r="M4" s="137">
        <f>'RKSK &amp; SHP'!P27</f>
        <v>13.161999999999999</v>
      </c>
    </row>
    <row r="5" spans="1:13" s="138" customFormat="1" x14ac:dyDescent="0.25">
      <c r="A5" s="135">
        <v>3</v>
      </c>
      <c r="B5" s="136" t="s">
        <v>801</v>
      </c>
      <c r="C5" s="137">
        <f>RBSK!G23</f>
        <v>329.21000000000009</v>
      </c>
      <c r="D5" s="137">
        <f>RBSK!H23</f>
        <v>151.68</v>
      </c>
      <c r="E5" s="137">
        <f>RBSK!I23</f>
        <v>27.23</v>
      </c>
      <c r="F5" s="137">
        <f>RBSK!J23</f>
        <v>15.339999999999998</v>
      </c>
      <c r="G5" s="137">
        <f>RBSK!K23</f>
        <v>21.48</v>
      </c>
      <c r="H5" s="137">
        <f>RBSK!L23</f>
        <v>14.31</v>
      </c>
      <c r="I5" s="137">
        <f>RBSK!M23</f>
        <v>18.099999999999998</v>
      </c>
      <c r="J5" s="137">
        <f>RBSK!N23</f>
        <v>27.4</v>
      </c>
      <c r="K5" s="137">
        <f>RBSK!O23</f>
        <v>24.139999999999997</v>
      </c>
      <c r="L5" s="137">
        <f>RBSK!P23</f>
        <v>16.64</v>
      </c>
      <c r="M5" s="137">
        <f>RBSK!Q23</f>
        <v>12.889999999999999</v>
      </c>
    </row>
    <row r="6" spans="1:13" s="138" customFormat="1" x14ac:dyDescent="0.25">
      <c r="A6" s="135">
        <v>4</v>
      </c>
      <c r="B6" s="136" t="s">
        <v>22</v>
      </c>
      <c r="C6" s="137">
        <f>PNDT!G7</f>
        <v>8.1199999999999992</v>
      </c>
      <c r="D6" s="137">
        <f>PNDT!H7</f>
        <v>8.1199999999999992</v>
      </c>
      <c r="E6" s="137">
        <f>PNDT!I7</f>
        <v>0</v>
      </c>
      <c r="F6" s="137">
        <f>PNDT!J7</f>
        <v>0</v>
      </c>
      <c r="G6" s="137">
        <f>PNDT!K7</f>
        <v>0</v>
      </c>
      <c r="H6" s="137">
        <f>PNDT!L7</f>
        <v>0</v>
      </c>
      <c r="I6" s="137">
        <f>PNDT!M7</f>
        <v>0</v>
      </c>
      <c r="J6" s="137">
        <f>PNDT!N7</f>
        <v>0</v>
      </c>
      <c r="K6" s="137">
        <f>PNDT!O7</f>
        <v>0</v>
      </c>
      <c r="L6" s="137">
        <f>PNDT!P7</f>
        <v>0</v>
      </c>
      <c r="M6" s="137">
        <f>PNDT!Q7</f>
        <v>0</v>
      </c>
    </row>
    <row r="7" spans="1:13" s="139" customFormat="1" x14ac:dyDescent="0.25">
      <c r="A7" s="135">
        <v>5</v>
      </c>
      <c r="B7" s="136" t="s">
        <v>21</v>
      </c>
      <c r="C7" s="137">
        <f>EPI!G37</f>
        <v>278.51000000000005</v>
      </c>
      <c r="D7" s="137">
        <f>EPI!H37</f>
        <v>144.94999999999999</v>
      </c>
      <c r="E7" s="137">
        <f>EPI!I37</f>
        <v>16.170000000000002</v>
      </c>
      <c r="F7" s="137">
        <f>EPI!J37</f>
        <v>13.43</v>
      </c>
      <c r="G7" s="137">
        <f>EPI!K37</f>
        <v>15.010000000000002</v>
      </c>
      <c r="H7" s="137">
        <f>EPI!L37</f>
        <v>13.56</v>
      </c>
      <c r="I7" s="137">
        <f>EPI!M37</f>
        <v>16.279999999999998</v>
      </c>
      <c r="J7" s="137">
        <f>EPI!N37</f>
        <v>17.630000000000003</v>
      </c>
      <c r="K7" s="137">
        <f>EPI!O37</f>
        <v>14.809999999999999</v>
      </c>
      <c r="L7" s="137">
        <f>EPI!P37</f>
        <v>13.050000000000002</v>
      </c>
      <c r="M7" s="137">
        <f>EPI!Q37</f>
        <v>13.620000000000001</v>
      </c>
    </row>
    <row r="8" spans="1:13" s="138" customFormat="1" x14ac:dyDescent="0.25">
      <c r="A8" s="135">
        <v>6</v>
      </c>
      <c r="B8" s="136" t="s">
        <v>23</v>
      </c>
      <c r="C8" s="137">
        <f>NIDDCP!G10</f>
        <v>15.729999999999999</v>
      </c>
      <c r="D8" s="137">
        <f>NIDDCP!H10</f>
        <v>15.729999999999999</v>
      </c>
      <c r="E8" s="137">
        <f>NIDDCP!I10</f>
        <v>0</v>
      </c>
      <c r="F8" s="137">
        <f>NIDDCP!J10</f>
        <v>0</v>
      </c>
      <c r="G8" s="137">
        <f>NIDDCP!K10</f>
        <v>0</v>
      </c>
      <c r="H8" s="137">
        <f>NIDDCP!L10</f>
        <v>0</v>
      </c>
      <c r="I8" s="137">
        <f>NIDDCP!M10</f>
        <v>0</v>
      </c>
      <c r="J8" s="137">
        <f>NIDDCP!N10</f>
        <v>0</v>
      </c>
      <c r="K8" s="137">
        <f>NIDDCP!O10</f>
        <v>0</v>
      </c>
      <c r="L8" s="137">
        <f>NIDDCP!P10</f>
        <v>0</v>
      </c>
      <c r="M8" s="137">
        <f>NIDDCP!Q10</f>
        <v>0</v>
      </c>
    </row>
    <row r="9" spans="1:13" s="138" customFormat="1" x14ac:dyDescent="0.25">
      <c r="A9" s="135">
        <v>7</v>
      </c>
      <c r="B9" s="136" t="s">
        <v>802</v>
      </c>
      <c r="C9" s="137">
        <f>'CP &amp; Untied Funds'!G24</f>
        <v>970.22032000000002</v>
      </c>
      <c r="D9" s="137">
        <f>'CP &amp; Untied Funds'!H24</f>
        <v>28.597999999999999</v>
      </c>
      <c r="E9" s="137">
        <f>'CP &amp; Untied Funds'!I24</f>
        <v>134.25196</v>
      </c>
      <c r="F9" s="137">
        <f>'CP &amp; Untied Funds'!J24</f>
        <v>81.744839999999982</v>
      </c>
      <c r="G9" s="137">
        <f>'CP &amp; Untied Funds'!K24</f>
        <v>135.73631999999998</v>
      </c>
      <c r="H9" s="137">
        <f>'CP &amp; Untied Funds'!L24</f>
        <v>76.454400000000007</v>
      </c>
      <c r="I9" s="137">
        <f>'CP &amp; Untied Funds'!M24</f>
        <v>122.34468</v>
      </c>
      <c r="J9" s="137">
        <f>'CP &amp; Untied Funds'!N24</f>
        <v>161.68020000000001</v>
      </c>
      <c r="K9" s="137">
        <f>'CP &amp; Untied Funds'!O24</f>
        <v>94.993600000000001</v>
      </c>
      <c r="L9" s="137">
        <f>'CP &amp; Untied Funds'!P24</f>
        <v>72.768360000000001</v>
      </c>
      <c r="M9" s="137">
        <f>'CP &amp; Untied Funds'!Q24</f>
        <v>61.647960000000012</v>
      </c>
    </row>
    <row r="10" spans="1:13" s="138" customFormat="1" x14ac:dyDescent="0.25">
      <c r="A10" s="135">
        <v>8</v>
      </c>
      <c r="B10" s="136" t="s">
        <v>803</v>
      </c>
      <c r="C10" s="137">
        <f>'CEA '!G6</f>
        <v>9.5</v>
      </c>
      <c r="D10" s="137">
        <f>'CEA '!H6</f>
        <v>5.93</v>
      </c>
      <c r="E10" s="137">
        <f>'CEA '!I6</f>
        <v>0</v>
      </c>
      <c r="F10" s="137">
        <f>'CEA '!J6</f>
        <v>0.64</v>
      </c>
      <c r="G10" s="137">
        <f>'CEA '!K6</f>
        <v>0.37</v>
      </c>
      <c r="H10" s="137">
        <f>'CEA '!L6</f>
        <v>0.37</v>
      </c>
      <c r="I10" s="137">
        <f>'CEA '!M6</f>
        <v>0.37</v>
      </c>
      <c r="J10" s="137">
        <f>'CEA '!N6</f>
        <v>0.71</v>
      </c>
      <c r="K10" s="137">
        <f>'CEA '!O6</f>
        <v>0.37</v>
      </c>
      <c r="L10" s="137">
        <f>'CEA '!P6</f>
        <v>0.37</v>
      </c>
      <c r="M10" s="137">
        <f>'CEA '!Q6</f>
        <v>0.37</v>
      </c>
    </row>
    <row r="11" spans="1:13" s="138" customFormat="1" x14ac:dyDescent="0.25">
      <c r="A11" s="135">
        <v>9</v>
      </c>
      <c r="B11" s="136" t="s">
        <v>804</v>
      </c>
      <c r="C11" s="137">
        <f>IEC!G11</f>
        <v>42.55</v>
      </c>
      <c r="D11" s="137">
        <f>IEC!H11</f>
        <v>42.55</v>
      </c>
      <c r="E11" s="137">
        <f>IEC!I11</f>
        <v>0</v>
      </c>
      <c r="F11" s="137">
        <f>IEC!J11</f>
        <v>0</v>
      </c>
      <c r="G11" s="137">
        <f>IEC!K11</f>
        <v>0</v>
      </c>
      <c r="H11" s="137">
        <f>IEC!L11</f>
        <v>0</v>
      </c>
      <c r="I11" s="137">
        <f>IEC!M11</f>
        <v>0</v>
      </c>
      <c r="J11" s="137">
        <f>IEC!N11</f>
        <v>0</v>
      </c>
      <c r="K11" s="137">
        <f>IEC!O11</f>
        <v>0</v>
      </c>
      <c r="L11" s="137">
        <f>IEC!P11</f>
        <v>0</v>
      </c>
      <c r="M11" s="137">
        <f>IEC!Q11</f>
        <v>0</v>
      </c>
    </row>
    <row r="12" spans="1:13" s="138" customFormat="1" x14ac:dyDescent="0.25">
      <c r="A12" s="135">
        <v>10</v>
      </c>
      <c r="B12" s="136" t="s">
        <v>25</v>
      </c>
      <c r="C12" s="137">
        <f>MMU!G4</f>
        <v>121.99000000000001</v>
      </c>
      <c r="D12" s="137">
        <f>MMU!H4</f>
        <v>13.99</v>
      </c>
      <c r="E12" s="137">
        <f>MMU!I4</f>
        <v>12</v>
      </c>
      <c r="F12" s="137">
        <f>MMU!J4</f>
        <v>12</v>
      </c>
      <c r="G12" s="137">
        <f>MMU!K4</f>
        <v>12</v>
      </c>
      <c r="H12" s="137">
        <f>MMU!L4</f>
        <v>12</v>
      </c>
      <c r="I12" s="137">
        <f>MMU!M4</f>
        <v>12</v>
      </c>
      <c r="J12" s="137">
        <f>MMU!N4</f>
        <v>12</v>
      </c>
      <c r="K12" s="137">
        <f>MMU!O4</f>
        <v>12</v>
      </c>
      <c r="L12" s="137">
        <f>MMU!P4</f>
        <v>12</v>
      </c>
      <c r="M12" s="137">
        <f>MMU!Q4</f>
        <v>12</v>
      </c>
    </row>
    <row r="13" spans="1:13" s="138" customFormat="1" x14ac:dyDescent="0.25">
      <c r="A13" s="135">
        <v>11</v>
      </c>
      <c r="B13" s="136" t="s">
        <v>26</v>
      </c>
      <c r="C13" s="137">
        <f>NAS!G5</f>
        <v>165.56000000000006</v>
      </c>
      <c r="D13" s="137">
        <f>NAS!H5</f>
        <v>126</v>
      </c>
      <c r="E13" s="137">
        <f>NAS!I5</f>
        <v>5.0999999999999996</v>
      </c>
      <c r="F13" s="137">
        <f>NAS!J5</f>
        <v>4.47</v>
      </c>
      <c r="G13" s="137">
        <f>NAS!K5</f>
        <v>7.02</v>
      </c>
      <c r="H13" s="137">
        <f>NAS!L5</f>
        <v>3.83</v>
      </c>
      <c r="I13" s="137">
        <f>NAS!M5</f>
        <v>2.5499999999999998</v>
      </c>
      <c r="J13" s="137">
        <f>NAS!N5</f>
        <v>7.02</v>
      </c>
      <c r="K13" s="137">
        <f>NAS!O5</f>
        <v>3.83</v>
      </c>
      <c r="L13" s="137">
        <f>NAS!P5</f>
        <v>2.5499999999999998</v>
      </c>
      <c r="M13" s="137">
        <f>NAS!Q5</f>
        <v>3.19</v>
      </c>
    </row>
    <row r="14" spans="1:13" s="138" customFormat="1" x14ac:dyDescent="0.25">
      <c r="A14" s="135">
        <v>12</v>
      </c>
      <c r="B14" s="136" t="s">
        <v>27</v>
      </c>
      <c r="C14" s="137">
        <f>QA!G17</f>
        <v>321.77500000000003</v>
      </c>
      <c r="D14" s="137">
        <f>QA!H17</f>
        <v>234.43999999999997</v>
      </c>
      <c r="E14" s="137">
        <f>QA!I17</f>
        <v>12.015000000000001</v>
      </c>
      <c r="F14" s="137">
        <f>QA!J17</f>
        <v>8.49</v>
      </c>
      <c r="G14" s="137">
        <f>QA!K17</f>
        <v>13.040000000000003</v>
      </c>
      <c r="H14" s="137">
        <f>QA!L17</f>
        <v>7.665</v>
      </c>
      <c r="I14" s="137">
        <f>QA!M17</f>
        <v>7.9499999999999993</v>
      </c>
      <c r="J14" s="137">
        <f>QA!N17</f>
        <v>14.415000000000001</v>
      </c>
      <c r="K14" s="137">
        <f>QA!O17</f>
        <v>9.6399999999999988</v>
      </c>
      <c r="L14" s="137">
        <f>QA!P17</f>
        <v>6.7400000000000011</v>
      </c>
      <c r="M14" s="137">
        <f>QA!Q17</f>
        <v>7.3800000000000008</v>
      </c>
    </row>
    <row r="15" spans="1:13" s="138" customFormat="1" ht="18" customHeight="1" x14ac:dyDescent="0.25">
      <c r="A15" s="135">
        <v>13</v>
      </c>
      <c r="B15" s="137" t="s">
        <v>948</v>
      </c>
      <c r="C15" s="137">
        <f>Training!G4</f>
        <v>10.7</v>
      </c>
      <c r="D15" s="137">
        <f>Training!H4</f>
        <v>10.7</v>
      </c>
      <c r="E15" s="137">
        <f>Training!I4</f>
        <v>0</v>
      </c>
      <c r="F15" s="137">
        <f>Training!J4</f>
        <v>0</v>
      </c>
      <c r="G15" s="137">
        <f>Training!K4</f>
        <v>0</v>
      </c>
      <c r="H15" s="137">
        <f>Training!L4</f>
        <v>0</v>
      </c>
      <c r="I15" s="137">
        <f>Training!M4</f>
        <v>0</v>
      </c>
      <c r="J15" s="137">
        <f>Training!N4</f>
        <v>0</v>
      </c>
      <c r="K15" s="137">
        <f>Training!O4</f>
        <v>0</v>
      </c>
      <c r="L15" s="137">
        <f>Training!P4</f>
        <v>0</v>
      </c>
      <c r="M15" s="137">
        <f>Training!Q4</f>
        <v>0</v>
      </c>
    </row>
    <row r="16" spans="1:13" s="138" customFormat="1" x14ac:dyDescent="0.25">
      <c r="A16" s="135">
        <v>14</v>
      </c>
      <c r="B16" s="136" t="s">
        <v>28</v>
      </c>
      <c r="C16" s="137">
        <f>'M&amp;E'!G13</f>
        <v>73.989999999999981</v>
      </c>
      <c r="D16" s="137">
        <f>'M&amp;E'!H13</f>
        <v>10.260000000000002</v>
      </c>
      <c r="E16" s="137">
        <f>'M&amp;E'!I13</f>
        <v>8.65</v>
      </c>
      <c r="F16" s="137">
        <f>'M&amp;E'!J13</f>
        <v>6.589999999999999</v>
      </c>
      <c r="G16" s="137">
        <f>'M&amp;E'!K13</f>
        <v>9.1700000000000017</v>
      </c>
      <c r="H16" s="137">
        <f>'M&amp;E'!L13</f>
        <v>5.14</v>
      </c>
      <c r="I16" s="137">
        <f>'M&amp;E'!M13</f>
        <v>6.18</v>
      </c>
      <c r="J16" s="137">
        <f>'M&amp;E'!N13</f>
        <v>10.169999999999998</v>
      </c>
      <c r="K16" s="137">
        <f>'M&amp;E'!O13</f>
        <v>7.41</v>
      </c>
      <c r="L16" s="137">
        <f>'M&amp;E'!P13</f>
        <v>5.05</v>
      </c>
      <c r="M16" s="137">
        <f>'M&amp;E'!Q13</f>
        <v>5.37</v>
      </c>
    </row>
    <row r="17" spans="1:13" s="138" customFormat="1" x14ac:dyDescent="0.25">
      <c r="A17" s="135">
        <v>15</v>
      </c>
      <c r="B17" s="136" t="s">
        <v>805</v>
      </c>
      <c r="C17" s="137">
        <f>FDSI!G4</f>
        <v>358.38</v>
      </c>
      <c r="D17" s="137">
        <f>FDSI!H4</f>
        <v>0</v>
      </c>
      <c r="E17" s="137">
        <f>FDSI!I4</f>
        <v>61.55</v>
      </c>
      <c r="F17" s="137">
        <f>FDSI!J4</f>
        <v>43.25</v>
      </c>
      <c r="G17" s="137">
        <f>FDSI!K4</f>
        <v>50.52</v>
      </c>
      <c r="H17" s="137">
        <f>FDSI!L4</f>
        <v>25.47</v>
      </c>
      <c r="I17" s="137">
        <f>FDSI!M4</f>
        <v>30.96</v>
      </c>
      <c r="J17" s="137">
        <f>FDSI!N4</f>
        <v>62.49</v>
      </c>
      <c r="K17" s="137">
        <f>FDSI!O4</f>
        <v>35.07</v>
      </c>
      <c r="L17" s="137">
        <f>FDSI!P4</f>
        <v>21.65</v>
      </c>
      <c r="M17" s="137">
        <f>FDSI!Q4</f>
        <v>27.42</v>
      </c>
    </row>
    <row r="18" spans="1:13" s="138" customFormat="1" x14ac:dyDescent="0.25">
      <c r="A18" s="135">
        <v>16</v>
      </c>
      <c r="B18" s="136" t="s">
        <v>806</v>
      </c>
      <c r="C18" s="137">
        <f>BMMP!G3</f>
        <v>886.08000000000015</v>
      </c>
      <c r="D18" s="137">
        <f>BMMP!H3</f>
        <v>0</v>
      </c>
      <c r="E18" s="137">
        <f>BMMP!I3</f>
        <v>98.48</v>
      </c>
      <c r="F18" s="137">
        <f>BMMP!J3</f>
        <v>98.45</v>
      </c>
      <c r="G18" s="137">
        <f>BMMP!K3</f>
        <v>98.45</v>
      </c>
      <c r="H18" s="137">
        <f>BMMP!L3</f>
        <v>98.45</v>
      </c>
      <c r="I18" s="137">
        <f>BMMP!M3</f>
        <v>98.45</v>
      </c>
      <c r="J18" s="137">
        <f>BMMP!N3</f>
        <v>98.45</v>
      </c>
      <c r="K18" s="137">
        <f>BMMP!O3</f>
        <v>98.45</v>
      </c>
      <c r="L18" s="137">
        <f>BMMP!P3</f>
        <v>98.45</v>
      </c>
      <c r="M18" s="137">
        <f>BMMP!Q3</f>
        <v>98.45</v>
      </c>
    </row>
    <row r="19" spans="1:13" s="138" customFormat="1" x14ac:dyDescent="0.25">
      <c r="A19" s="135">
        <v>17</v>
      </c>
      <c r="B19" s="136" t="s">
        <v>807</v>
      </c>
      <c r="C19" s="137">
        <f>FDI!G4</f>
        <v>221.83999999999997</v>
      </c>
      <c r="D19" s="137">
        <f>FDI!H4</f>
        <v>0</v>
      </c>
      <c r="E19" s="137">
        <f>FDI!I4</f>
        <v>35</v>
      </c>
      <c r="F19" s="137">
        <f>FDI!J4</f>
        <v>35</v>
      </c>
      <c r="G19" s="137">
        <f>FDI!K4</f>
        <v>28</v>
      </c>
      <c r="H19" s="137">
        <f>FDI!L4</f>
        <v>18.399999999999999</v>
      </c>
      <c r="I19" s="137">
        <f>FDI!M4</f>
        <v>19</v>
      </c>
      <c r="J19" s="137">
        <f>FDI!N4</f>
        <v>32</v>
      </c>
      <c r="K19" s="137">
        <f>FDI!O4</f>
        <v>18.04</v>
      </c>
      <c r="L19" s="137">
        <f>FDI!P4</f>
        <v>18.2</v>
      </c>
      <c r="M19" s="137">
        <f>FDI!Q4</f>
        <v>18.2</v>
      </c>
    </row>
    <row r="20" spans="1:13" s="138" customFormat="1" x14ac:dyDescent="0.25">
      <c r="A20" s="135">
        <v>18</v>
      </c>
      <c r="B20" s="136" t="s">
        <v>115</v>
      </c>
      <c r="C20" s="137">
        <f>DVDMS!G4</f>
        <v>46.18</v>
      </c>
      <c r="D20" s="137">
        <f>DVDMS!H4</f>
        <v>46.18</v>
      </c>
      <c r="E20" s="137">
        <f>DVDMS!I4</f>
        <v>0</v>
      </c>
      <c r="F20" s="137">
        <f>DVDMS!J4</f>
        <v>0</v>
      </c>
      <c r="G20" s="137">
        <f>DVDMS!K4</f>
        <v>0</v>
      </c>
      <c r="H20" s="137">
        <f>DVDMS!L4</f>
        <v>0</v>
      </c>
      <c r="I20" s="137">
        <f>DVDMS!M4</f>
        <v>0</v>
      </c>
      <c r="J20" s="137">
        <f>DVDMS!N4</f>
        <v>0</v>
      </c>
      <c r="K20" s="137">
        <f>DVDMS!O4</f>
        <v>0</v>
      </c>
      <c r="L20" s="137">
        <f>DVDMS!P4</f>
        <v>0</v>
      </c>
      <c r="M20" s="137">
        <f>DVDMS!Q4</f>
        <v>0</v>
      </c>
    </row>
    <row r="21" spans="1:13" s="138" customFormat="1" x14ac:dyDescent="0.25">
      <c r="A21" s="135">
        <v>19</v>
      </c>
      <c r="B21" s="136" t="s">
        <v>980</v>
      </c>
      <c r="C21" s="137">
        <f>SBP!G6</f>
        <v>8.8000000000000007</v>
      </c>
      <c r="D21" s="137">
        <f>SBP!H6</f>
        <v>7</v>
      </c>
      <c r="E21" s="137">
        <f>SBP!I6</f>
        <v>0.2</v>
      </c>
      <c r="F21" s="137">
        <f>SBP!J6</f>
        <v>0.2</v>
      </c>
      <c r="G21" s="137">
        <f>SBP!K6</f>
        <v>0.2</v>
      </c>
      <c r="H21" s="137">
        <f>SBP!L6</f>
        <v>0.2</v>
      </c>
      <c r="I21" s="137">
        <f>SBP!M6</f>
        <v>0.2</v>
      </c>
      <c r="J21" s="137">
        <f>SBP!N6</f>
        <v>0.2</v>
      </c>
      <c r="K21" s="137">
        <f>SBP!O6</f>
        <v>0.2</v>
      </c>
      <c r="L21" s="137">
        <f>SBP!P6</f>
        <v>0.2</v>
      </c>
      <c r="M21" s="137">
        <f>SBP!Q6</f>
        <v>0.2</v>
      </c>
    </row>
    <row r="22" spans="1:13" s="138" customFormat="1" x14ac:dyDescent="0.25">
      <c r="A22" s="135">
        <v>20</v>
      </c>
      <c r="B22" s="136" t="s">
        <v>989</v>
      </c>
      <c r="C22" s="137">
        <f>CPHC!G19</f>
        <v>487.33139999999992</v>
      </c>
      <c r="D22" s="137">
        <f>CPHC!H19</f>
        <v>44.6</v>
      </c>
      <c r="E22" s="137">
        <f>CPHC!I19</f>
        <v>46.5535</v>
      </c>
      <c r="F22" s="137">
        <f>CPHC!J19</f>
        <v>71.55619999999999</v>
      </c>
      <c r="G22" s="137">
        <f>CPHC!K19</f>
        <v>92.153500000000008</v>
      </c>
      <c r="H22" s="137">
        <f>CPHC!L19</f>
        <v>33.690300000000001</v>
      </c>
      <c r="I22" s="137">
        <f>CPHC!M19</f>
        <v>31.167499999999997</v>
      </c>
      <c r="J22" s="137">
        <f>CPHC!N19</f>
        <v>79.505099999999999</v>
      </c>
      <c r="K22" s="137">
        <f>CPHC!O19</f>
        <v>35.333300000000001</v>
      </c>
      <c r="L22" s="137">
        <f>CPHC!P19</f>
        <v>26.577399999999997</v>
      </c>
      <c r="M22" s="137">
        <f>CPHC!Q19</f>
        <v>26.194600000000001</v>
      </c>
    </row>
    <row r="23" spans="1:13" s="138" customFormat="1" x14ac:dyDescent="0.25">
      <c r="A23" s="135">
        <v>21</v>
      </c>
      <c r="B23" s="136" t="s">
        <v>808</v>
      </c>
      <c r="C23" s="137">
        <f>'S&amp;DHAP'!G5</f>
        <v>28</v>
      </c>
      <c r="D23" s="137">
        <f>'S&amp;DHAP'!H5</f>
        <v>10</v>
      </c>
      <c r="E23" s="137">
        <f>'S&amp;DHAP'!I5</f>
        <v>2</v>
      </c>
      <c r="F23" s="137">
        <f>'S&amp;DHAP'!J5</f>
        <v>2</v>
      </c>
      <c r="G23" s="137">
        <f>'S&amp;DHAP'!K5</f>
        <v>2</v>
      </c>
      <c r="H23" s="137">
        <f>'S&amp;DHAP'!L5</f>
        <v>2</v>
      </c>
      <c r="I23" s="137">
        <f>'S&amp;DHAP'!M5</f>
        <v>2</v>
      </c>
      <c r="J23" s="137">
        <f>'S&amp;DHAP'!N5</f>
        <v>2</v>
      </c>
      <c r="K23" s="137">
        <f>'S&amp;DHAP'!O5</f>
        <v>2</v>
      </c>
      <c r="L23" s="137">
        <f>'S&amp;DHAP'!P5</f>
        <v>2</v>
      </c>
      <c r="M23" s="137">
        <f>'S&amp;DHAP'!Q5</f>
        <v>2</v>
      </c>
    </row>
    <row r="24" spans="1:13" s="138" customFormat="1" x14ac:dyDescent="0.25">
      <c r="A24" s="135">
        <v>22</v>
      </c>
      <c r="B24" s="136" t="s">
        <v>33</v>
      </c>
      <c r="C24" s="137">
        <f>SBC!G14</f>
        <v>28.148</v>
      </c>
      <c r="D24" s="137">
        <f>SBC!H14</f>
        <v>26.56</v>
      </c>
      <c r="E24" s="137">
        <f>SBC!I14</f>
        <v>0.28999999999999998</v>
      </c>
      <c r="F24" s="137">
        <f>SBC!J14</f>
        <v>0.14399999999999999</v>
      </c>
      <c r="G24" s="137">
        <f>SBC!K14</f>
        <v>0.14399999999999999</v>
      </c>
      <c r="H24" s="137">
        <f>SBC!L14</f>
        <v>0.14399999999999999</v>
      </c>
      <c r="I24" s="137">
        <f>SBC!M14</f>
        <v>0.14399999999999999</v>
      </c>
      <c r="J24" s="137">
        <f>SBC!N14</f>
        <v>0.28999999999999998</v>
      </c>
      <c r="K24" s="137">
        <f>SBC!O14</f>
        <v>0.14399999999999999</v>
      </c>
      <c r="L24" s="137">
        <f>SBC!P14</f>
        <v>0.14399999999999999</v>
      </c>
      <c r="M24" s="137">
        <f>SBC!Q14</f>
        <v>0.14399999999999999</v>
      </c>
    </row>
    <row r="25" spans="1:13" s="139" customFormat="1" x14ac:dyDescent="0.25">
      <c r="A25" s="135">
        <v>23</v>
      </c>
      <c r="B25" s="136" t="s">
        <v>35</v>
      </c>
      <c r="C25" s="137">
        <f>IDSP!G9</f>
        <v>34.21</v>
      </c>
      <c r="D25" s="137">
        <f>IDSP!H9</f>
        <v>21.97</v>
      </c>
      <c r="E25" s="137">
        <f>IDSP!I9</f>
        <v>1.3599999999999999</v>
      </c>
      <c r="F25" s="137">
        <f>IDSP!J9</f>
        <v>1.3599999999999999</v>
      </c>
      <c r="G25" s="137">
        <f>IDSP!K9</f>
        <v>1.3599999999999999</v>
      </c>
      <c r="H25" s="137">
        <f>IDSP!L9</f>
        <v>1.3599999999999999</v>
      </c>
      <c r="I25" s="137">
        <f>IDSP!M9</f>
        <v>1.3599999999999999</v>
      </c>
      <c r="J25" s="137">
        <f>IDSP!N9</f>
        <v>1.3599999999999999</v>
      </c>
      <c r="K25" s="137">
        <f>IDSP!O9</f>
        <v>1.3599999999999999</v>
      </c>
      <c r="L25" s="137">
        <f>IDSP!P9</f>
        <v>1.3599999999999999</v>
      </c>
      <c r="M25" s="137">
        <f>IDSP!Q9</f>
        <v>1.3599999999999999</v>
      </c>
    </row>
    <row r="26" spans="1:13" s="138" customFormat="1" x14ac:dyDescent="0.25">
      <c r="A26" s="135">
        <v>24</v>
      </c>
      <c r="B26" s="136" t="s">
        <v>36</v>
      </c>
      <c r="C26" s="137">
        <f>NLEP!G20</f>
        <v>17.139999999999997</v>
      </c>
      <c r="D26" s="137">
        <f>NLEP!H20</f>
        <v>17.139999999999997</v>
      </c>
      <c r="E26" s="137">
        <f>NLEP!I20</f>
        <v>0</v>
      </c>
      <c r="F26" s="137">
        <f>NLEP!J20</f>
        <v>0</v>
      </c>
      <c r="G26" s="137">
        <f>NLEP!K20</f>
        <v>0</v>
      </c>
      <c r="H26" s="137">
        <f>NLEP!L20</f>
        <v>0</v>
      </c>
      <c r="I26" s="137">
        <f>NLEP!M20</f>
        <v>0</v>
      </c>
      <c r="J26" s="137">
        <f>NLEP!N20</f>
        <v>0</v>
      </c>
      <c r="K26" s="137">
        <f>NLEP!O20</f>
        <v>0</v>
      </c>
      <c r="L26" s="137">
        <f>NLEP!P20</f>
        <v>0</v>
      </c>
      <c r="M26" s="137">
        <f>NLEP!Q20</f>
        <v>0</v>
      </c>
    </row>
    <row r="27" spans="1:13" s="138" customFormat="1" x14ac:dyDescent="0.25">
      <c r="A27" s="135">
        <v>25</v>
      </c>
      <c r="B27" s="136" t="s">
        <v>37</v>
      </c>
      <c r="C27" s="137">
        <f>NVBDCP!G50</f>
        <v>768.57779399999993</v>
      </c>
      <c r="D27" s="137">
        <f>NVBDCP!H50</f>
        <v>463.4317400000001</v>
      </c>
      <c r="E27" s="137">
        <f>NVBDCP!I50</f>
        <v>24.14639</v>
      </c>
      <c r="F27" s="137">
        <f>NVBDCP!J50</f>
        <v>20.386390000000002</v>
      </c>
      <c r="G27" s="137">
        <f>NVBDCP!K50</f>
        <v>20.366390000000003</v>
      </c>
      <c r="H27" s="137">
        <f>NVBDCP!L50</f>
        <v>18.116390000000003</v>
      </c>
      <c r="I27" s="137">
        <f>NVBDCP!M50</f>
        <v>68.368262000000001</v>
      </c>
      <c r="J27" s="137">
        <f>NVBDCP!N50</f>
        <v>65.747062</v>
      </c>
      <c r="K27" s="137">
        <f>NVBDCP!O50</f>
        <v>40.807510000000015</v>
      </c>
      <c r="L27" s="137">
        <f>NVBDCP!P50</f>
        <v>28.81127</v>
      </c>
      <c r="M27" s="137">
        <f>NVBDCP!Q50</f>
        <v>18.396390000000004</v>
      </c>
    </row>
    <row r="28" spans="1:13" s="139" customFormat="1" x14ac:dyDescent="0.25">
      <c r="A28" s="135">
        <v>26</v>
      </c>
      <c r="B28" s="136" t="s">
        <v>38</v>
      </c>
      <c r="C28" s="137">
        <f>NTEP!G47</f>
        <v>761.23500000000013</v>
      </c>
      <c r="D28" s="137">
        <f>NTEP!H47</f>
        <v>268.45</v>
      </c>
      <c r="E28" s="137">
        <f>NTEP!I47</f>
        <v>0</v>
      </c>
      <c r="F28" s="137">
        <f>NTEP!J47</f>
        <v>193.35999999999999</v>
      </c>
      <c r="G28" s="137">
        <f>NTEP!K47</f>
        <v>43.489999999999995</v>
      </c>
      <c r="H28" s="137">
        <f>NTEP!L47</f>
        <v>44.884999999999991</v>
      </c>
      <c r="I28" s="137">
        <f>NTEP!M47</f>
        <v>39.384999999999998</v>
      </c>
      <c r="J28" s="137">
        <f>NTEP!N47</f>
        <v>55.034999999999997</v>
      </c>
      <c r="K28" s="137">
        <f>NTEP!O47</f>
        <v>37.01</v>
      </c>
      <c r="L28" s="137">
        <f>NTEP!P47</f>
        <v>40.709999999999994</v>
      </c>
      <c r="M28" s="137">
        <f>NTEP!Q47</f>
        <v>38.910000000000004</v>
      </c>
    </row>
    <row r="29" spans="1:13" s="138" customFormat="1" x14ac:dyDescent="0.25">
      <c r="A29" s="135">
        <v>27</v>
      </c>
      <c r="B29" s="136" t="s">
        <v>809</v>
      </c>
      <c r="C29" s="137">
        <f>NVHCP!G18</f>
        <v>294.92</v>
      </c>
      <c r="D29" s="137">
        <f>NVHCP!H18</f>
        <v>293.77</v>
      </c>
      <c r="E29" s="137">
        <f>NVHCP!I18</f>
        <v>0</v>
      </c>
      <c r="F29" s="137">
        <f>NVHCP!J18</f>
        <v>0.1</v>
      </c>
      <c r="G29" s="137">
        <f>NVHCP!K18</f>
        <v>0.1</v>
      </c>
      <c r="H29" s="137">
        <f>NVHCP!L18</f>
        <v>0.1</v>
      </c>
      <c r="I29" s="137">
        <f>NVHCP!M18</f>
        <v>0.1</v>
      </c>
      <c r="J29" s="137">
        <f>NVHCP!N18</f>
        <v>0.1</v>
      </c>
      <c r="K29" s="137">
        <f>NVHCP!O18</f>
        <v>0.1</v>
      </c>
      <c r="L29" s="137">
        <f>NVHCP!P18</f>
        <v>0.1</v>
      </c>
      <c r="M29" s="137">
        <f>NVHCP!Q18</f>
        <v>0.1</v>
      </c>
    </row>
    <row r="30" spans="1:13" s="138" customFormat="1" x14ac:dyDescent="0.25">
      <c r="A30" s="135">
        <v>28</v>
      </c>
      <c r="B30" s="136" t="s">
        <v>39</v>
      </c>
      <c r="C30" s="137">
        <f>NRCP!G6</f>
        <v>23.09</v>
      </c>
      <c r="D30" s="137">
        <f>NRCP!H6</f>
        <v>23.09</v>
      </c>
      <c r="E30" s="137">
        <f>NRCP!I6</f>
        <v>0</v>
      </c>
      <c r="F30" s="137">
        <f>NRCP!J6</f>
        <v>0</v>
      </c>
      <c r="G30" s="137">
        <f>NRCP!K6</f>
        <v>0</v>
      </c>
      <c r="H30" s="137">
        <f>NRCP!L6</f>
        <v>0</v>
      </c>
      <c r="I30" s="137">
        <f>NRCP!M6</f>
        <v>0</v>
      </c>
      <c r="J30" s="137">
        <f>NRCP!N6</f>
        <v>0</v>
      </c>
      <c r="K30" s="137">
        <f>NRCP!O6</f>
        <v>0</v>
      </c>
      <c r="L30" s="137">
        <f>NRCP!P6</f>
        <v>0</v>
      </c>
      <c r="M30" s="137">
        <f>NRCP!Q6</f>
        <v>0</v>
      </c>
    </row>
    <row r="31" spans="1:13" s="138" customFormat="1" x14ac:dyDescent="0.25">
      <c r="A31" s="135">
        <v>29</v>
      </c>
      <c r="B31" s="136" t="s">
        <v>29</v>
      </c>
      <c r="C31" s="137">
        <f>PMNDP!G6</f>
        <v>37.6</v>
      </c>
      <c r="D31" s="137">
        <f>PMNDP!H6</f>
        <v>0</v>
      </c>
      <c r="E31" s="137">
        <f>PMNDP!I6</f>
        <v>0.4</v>
      </c>
      <c r="F31" s="137">
        <f>PMNDP!J6</f>
        <v>0</v>
      </c>
      <c r="G31" s="137">
        <f>PMNDP!K6</f>
        <v>0.4</v>
      </c>
      <c r="H31" s="137">
        <f>PMNDP!L6</f>
        <v>0.4</v>
      </c>
      <c r="I31" s="137">
        <f>PMNDP!M6</f>
        <v>12</v>
      </c>
      <c r="J31" s="137">
        <f>PMNDP!N6</f>
        <v>0.4</v>
      </c>
      <c r="K31" s="137">
        <f>PMNDP!O6</f>
        <v>12</v>
      </c>
      <c r="L31" s="137">
        <f>PMNDP!P6</f>
        <v>12</v>
      </c>
      <c r="M31" s="137">
        <f>PMNDP!Q6</f>
        <v>0</v>
      </c>
    </row>
    <row r="32" spans="1:13" s="139" customFormat="1" x14ac:dyDescent="0.25">
      <c r="A32" s="135">
        <v>30</v>
      </c>
      <c r="B32" s="136" t="s">
        <v>810</v>
      </c>
      <c r="C32" s="137">
        <f>'NPCB&amp;VI'!G18</f>
        <v>114.03</v>
      </c>
      <c r="D32" s="137">
        <f>'NPCB&amp;VI'!H18</f>
        <v>5</v>
      </c>
      <c r="E32" s="137">
        <f>'NPCB&amp;VI'!I18</f>
        <v>45.550000000000004</v>
      </c>
      <c r="F32" s="137">
        <f>'NPCB&amp;VI'!J18</f>
        <v>31.200000000000003</v>
      </c>
      <c r="G32" s="137">
        <f>'NPCB&amp;VI'!K18</f>
        <v>5.375</v>
      </c>
      <c r="H32" s="137">
        <f>'NPCB&amp;VI'!L18</f>
        <v>3.6999999999999997</v>
      </c>
      <c r="I32" s="137">
        <f>'NPCB&amp;VI'!M18</f>
        <v>2.105</v>
      </c>
      <c r="J32" s="137">
        <f>'NPCB&amp;VI'!N18</f>
        <v>8.8749999999999982</v>
      </c>
      <c r="K32" s="137">
        <f>'NPCB&amp;VI'!O18</f>
        <v>3.8750000000000004</v>
      </c>
      <c r="L32" s="137">
        <f>'NPCB&amp;VI'!P18</f>
        <v>5.21</v>
      </c>
      <c r="M32" s="137">
        <f>'NPCB&amp;VI'!Q18</f>
        <v>3.14</v>
      </c>
    </row>
    <row r="33" spans="1:13" s="138" customFormat="1" x14ac:dyDescent="0.25">
      <c r="A33" s="135">
        <v>31</v>
      </c>
      <c r="B33" s="136" t="s">
        <v>40</v>
      </c>
      <c r="C33" s="137">
        <f>NMHP!G16</f>
        <v>63.3</v>
      </c>
      <c r="D33" s="137">
        <f>NMHP!H16</f>
        <v>56.2</v>
      </c>
      <c r="E33" s="137">
        <f>NMHP!I16</f>
        <v>0</v>
      </c>
      <c r="F33" s="137">
        <f>NMHP!J16</f>
        <v>1.5</v>
      </c>
      <c r="G33" s="137">
        <f>NMHP!K16</f>
        <v>0.79999999999999993</v>
      </c>
      <c r="H33" s="137">
        <f>NMHP!L16</f>
        <v>0.79999999999999993</v>
      </c>
      <c r="I33" s="137">
        <f>NMHP!M16</f>
        <v>0.79999999999999993</v>
      </c>
      <c r="J33" s="137">
        <f>NMHP!N16</f>
        <v>0.79999999999999993</v>
      </c>
      <c r="K33" s="137">
        <f>NMHP!O16</f>
        <v>0.79999999999999993</v>
      </c>
      <c r="L33" s="137">
        <f>NMHP!P16</f>
        <v>0.79999999999999993</v>
      </c>
      <c r="M33" s="137">
        <f>NMHP!Q16</f>
        <v>0.79999999999999993</v>
      </c>
    </row>
    <row r="34" spans="1:13" s="138" customFormat="1" x14ac:dyDescent="0.25">
      <c r="A34" s="135">
        <v>32</v>
      </c>
      <c r="B34" s="136" t="s">
        <v>1047</v>
      </c>
      <c r="C34" s="137">
        <f>NPCDCS!G34</f>
        <v>156.70500000000001</v>
      </c>
      <c r="D34" s="137">
        <f>NPCDCS!H34</f>
        <v>38.61</v>
      </c>
      <c r="E34" s="137">
        <f>NPCDCS!I34</f>
        <v>14.27</v>
      </c>
      <c r="F34" s="137">
        <f>NPCDCS!J34</f>
        <v>0</v>
      </c>
      <c r="G34" s="137">
        <f>NPCDCS!K34</f>
        <v>30.31</v>
      </c>
      <c r="H34" s="137">
        <f>NPCDCS!L34</f>
        <v>7.9949999999999992</v>
      </c>
      <c r="I34" s="137">
        <f>NPCDCS!M34</f>
        <v>8.7650000000000006</v>
      </c>
      <c r="J34" s="137">
        <f>NPCDCS!N34</f>
        <v>13.35</v>
      </c>
      <c r="K34" s="137">
        <f>NPCDCS!O34</f>
        <v>27.8</v>
      </c>
      <c r="L34" s="137">
        <f>NPCDCS!P34</f>
        <v>7.54</v>
      </c>
      <c r="M34" s="137">
        <f>NPCDCS!Q34</f>
        <v>8.0649999999999995</v>
      </c>
    </row>
    <row r="35" spans="1:13" s="138" customFormat="1" x14ac:dyDescent="0.25">
      <c r="A35" s="135">
        <v>33</v>
      </c>
      <c r="B35" s="136" t="s">
        <v>42</v>
      </c>
      <c r="C35" s="137">
        <f>NPHCE!G9</f>
        <v>45.550000000000004</v>
      </c>
      <c r="D35" s="137">
        <f>NPHCE!H9</f>
        <v>25.15</v>
      </c>
      <c r="E35" s="137">
        <f>NPHCE!I9</f>
        <v>1</v>
      </c>
      <c r="F35" s="137">
        <f>NPHCE!J9</f>
        <v>1</v>
      </c>
      <c r="G35" s="137">
        <f>NPHCE!K9</f>
        <v>1</v>
      </c>
      <c r="H35" s="137">
        <f>NPHCE!L9</f>
        <v>1</v>
      </c>
      <c r="I35" s="137">
        <f>NPHCE!M9</f>
        <v>1</v>
      </c>
      <c r="J35" s="137">
        <f>NPHCE!N9</f>
        <v>12.4</v>
      </c>
      <c r="K35" s="137">
        <f>NPHCE!O9</f>
        <v>1</v>
      </c>
      <c r="L35" s="137">
        <f>NPHCE!P9</f>
        <v>1</v>
      </c>
      <c r="M35" s="137">
        <f>NPHCE!Q9</f>
        <v>1</v>
      </c>
    </row>
    <row r="36" spans="1:13" s="138" customFormat="1" x14ac:dyDescent="0.25">
      <c r="A36" s="135">
        <v>34</v>
      </c>
      <c r="B36" s="136" t="s">
        <v>43</v>
      </c>
      <c r="C36" s="137">
        <f>NTCP!G19</f>
        <v>70.543000000000006</v>
      </c>
      <c r="D36" s="137">
        <f>NTCP!H19</f>
        <v>24.76</v>
      </c>
      <c r="E36" s="137">
        <f>NTCP!I19</f>
        <v>5.0869999999999997</v>
      </c>
      <c r="F36" s="137">
        <f>NTCP!J19</f>
        <v>5.0869999999999997</v>
      </c>
      <c r="G36" s="137">
        <f>NTCP!K19</f>
        <v>5.0869999999999997</v>
      </c>
      <c r="H36" s="137">
        <f>NTCP!L19</f>
        <v>5.0869999999999997</v>
      </c>
      <c r="I36" s="137">
        <f>NTCP!M19</f>
        <v>5.0869999999999997</v>
      </c>
      <c r="J36" s="137">
        <f>NTCP!N19</f>
        <v>5.0869999999999997</v>
      </c>
      <c r="K36" s="137">
        <f>NTCP!O19</f>
        <v>5.0869999999999997</v>
      </c>
      <c r="L36" s="137">
        <f>NTCP!P19</f>
        <v>5.0869999999999997</v>
      </c>
      <c r="M36" s="137">
        <f>NTCP!Q19</f>
        <v>5.0869999999999997</v>
      </c>
    </row>
    <row r="37" spans="1:13" s="134" customFormat="1" ht="31.5" x14ac:dyDescent="0.25">
      <c r="A37" s="133" t="s">
        <v>17</v>
      </c>
      <c r="B37" s="133" t="s">
        <v>18</v>
      </c>
      <c r="C37" s="133" t="s">
        <v>836</v>
      </c>
      <c r="D37" s="133" t="s">
        <v>3</v>
      </c>
      <c r="E37" s="133" t="s">
        <v>4</v>
      </c>
      <c r="F37" s="133" t="s">
        <v>5</v>
      </c>
      <c r="G37" s="133" t="s">
        <v>6</v>
      </c>
      <c r="H37" s="133" t="s">
        <v>7</v>
      </c>
      <c r="I37" s="133" t="s">
        <v>8</v>
      </c>
      <c r="J37" s="133" t="s">
        <v>9</v>
      </c>
      <c r="K37" s="133" t="s">
        <v>10</v>
      </c>
      <c r="L37" s="133" t="s">
        <v>11</v>
      </c>
      <c r="M37" s="133" t="s">
        <v>12</v>
      </c>
    </row>
    <row r="38" spans="1:13" s="138" customFormat="1" x14ac:dyDescent="0.25">
      <c r="A38" s="135">
        <v>35</v>
      </c>
      <c r="B38" s="136" t="s">
        <v>811</v>
      </c>
      <c r="C38" s="137">
        <f>NOHP!G11</f>
        <v>59.510000000000005</v>
      </c>
      <c r="D38" s="137">
        <f>NOHP!H11</f>
        <v>59.510000000000005</v>
      </c>
      <c r="E38" s="137">
        <f>NOHP!I11</f>
        <v>0</v>
      </c>
      <c r="F38" s="137">
        <f>NOHP!J11</f>
        <v>0</v>
      </c>
      <c r="G38" s="137">
        <f>NOHP!K11</f>
        <v>0</v>
      </c>
      <c r="H38" s="137">
        <f>NOHP!L11</f>
        <v>0</v>
      </c>
      <c r="I38" s="137">
        <f>NOHP!M11</f>
        <v>0</v>
      </c>
      <c r="J38" s="137">
        <f>NOHP!N11</f>
        <v>0</v>
      </c>
      <c r="K38" s="137">
        <f>NOHP!O11</f>
        <v>0</v>
      </c>
      <c r="L38" s="137">
        <f>NOHP!P11</f>
        <v>0</v>
      </c>
      <c r="M38" s="137">
        <f>NOHP!Q11</f>
        <v>0</v>
      </c>
    </row>
    <row r="39" spans="1:13" s="138" customFormat="1" x14ac:dyDescent="0.25">
      <c r="A39" s="135">
        <v>36</v>
      </c>
      <c r="B39" s="136" t="s">
        <v>31</v>
      </c>
      <c r="C39" s="137">
        <f>NPPCD!G7</f>
        <v>20.28</v>
      </c>
      <c r="D39" s="137">
        <f>NPPCD!H7</f>
        <v>16.720000000000002</v>
      </c>
      <c r="E39" s="137">
        <f>NPPCD!I7</f>
        <v>0.24</v>
      </c>
      <c r="F39" s="137">
        <f>NPPCD!J7</f>
        <v>0.24</v>
      </c>
      <c r="G39" s="137">
        <f>NPPCD!K7</f>
        <v>0.44</v>
      </c>
      <c r="H39" s="137">
        <f>NPPCD!L7</f>
        <v>0.44</v>
      </c>
      <c r="I39" s="137">
        <f>NPPCD!M7</f>
        <v>0.44</v>
      </c>
      <c r="J39" s="137">
        <f>NPPCD!N7</f>
        <v>0.44</v>
      </c>
      <c r="K39" s="137">
        <f>NPPCD!O7</f>
        <v>0.44</v>
      </c>
      <c r="L39" s="137">
        <f>NPPCD!P7</f>
        <v>0.44</v>
      </c>
      <c r="M39" s="137">
        <f>NPPCD!Q7</f>
        <v>0.44</v>
      </c>
    </row>
    <row r="40" spans="1:13" s="138" customFormat="1" x14ac:dyDescent="0.25">
      <c r="A40" s="135">
        <v>37</v>
      </c>
      <c r="B40" s="136" t="s">
        <v>32</v>
      </c>
      <c r="C40" s="137">
        <f>NPPC!G14</f>
        <v>35.29</v>
      </c>
      <c r="D40" s="137">
        <f>NPPC!H14</f>
        <v>24.490000000000002</v>
      </c>
      <c r="E40" s="137">
        <f>NPPC!I14</f>
        <v>1.2</v>
      </c>
      <c r="F40" s="137">
        <f>NPPC!J14</f>
        <v>1.2</v>
      </c>
      <c r="G40" s="137">
        <f>NPPC!K14</f>
        <v>1.2</v>
      </c>
      <c r="H40" s="137">
        <f>NPPC!L14</f>
        <v>1.2</v>
      </c>
      <c r="I40" s="137">
        <f>NPPC!M14</f>
        <v>1.2</v>
      </c>
      <c r="J40" s="137">
        <f>NPPC!N14</f>
        <v>1.2</v>
      </c>
      <c r="K40" s="137">
        <f>NPPC!O14</f>
        <v>1.2</v>
      </c>
      <c r="L40" s="137">
        <f>NPPC!P14</f>
        <v>1.2</v>
      </c>
      <c r="M40" s="137">
        <f>NPPC!Q14</f>
        <v>1.2</v>
      </c>
    </row>
    <row r="41" spans="1:13" s="138" customFormat="1" x14ac:dyDescent="0.25">
      <c r="A41" s="135">
        <v>38</v>
      </c>
      <c r="B41" s="136" t="s">
        <v>812</v>
      </c>
      <c r="C41" s="137">
        <f>'Climate Change'!G16</f>
        <v>48.181999999999995</v>
      </c>
      <c r="D41" s="137">
        <f>'Climate Change'!H16</f>
        <v>6.176000000000001</v>
      </c>
      <c r="E41" s="137">
        <f>'Climate Change'!I16</f>
        <v>3.0459999999999998</v>
      </c>
      <c r="F41" s="137">
        <f>'Climate Change'!J16</f>
        <v>2.1160000000000001</v>
      </c>
      <c r="G41" s="137">
        <f>'Climate Change'!K16</f>
        <v>4.798</v>
      </c>
      <c r="H41" s="137">
        <f>'Climate Change'!L16</f>
        <v>2.1519999999999997</v>
      </c>
      <c r="I41" s="137">
        <f>'Climate Change'!M16</f>
        <v>12.124000000000001</v>
      </c>
      <c r="J41" s="137">
        <f>'Climate Change'!N16</f>
        <v>5.6479999999999997</v>
      </c>
      <c r="K41" s="137">
        <f>'Climate Change'!O16</f>
        <v>7.3320000000000007</v>
      </c>
      <c r="L41" s="137">
        <f>'Climate Change'!P16</f>
        <v>2.956</v>
      </c>
      <c r="M41" s="137">
        <f>'Climate Change'!Q16</f>
        <v>1.8340000000000001</v>
      </c>
    </row>
    <row r="42" spans="1:13" s="138" customFormat="1" x14ac:dyDescent="0.25">
      <c r="A42" s="135">
        <v>39</v>
      </c>
      <c r="B42" s="136" t="s">
        <v>967</v>
      </c>
      <c r="C42" s="137">
        <f>NUHM!G55</f>
        <v>408.78999999999985</v>
      </c>
      <c r="D42" s="137">
        <f>NUHM!H55</f>
        <v>387.92999999999995</v>
      </c>
      <c r="E42" s="137">
        <f>NUHM!I55</f>
        <v>60.90000000000002</v>
      </c>
      <c r="F42" s="137">
        <f>NUHM!J55</f>
        <v>54.959999999999994</v>
      </c>
      <c r="G42" s="137">
        <f>NUHM!K55</f>
        <v>17.599999999999998</v>
      </c>
      <c r="H42" s="137">
        <f>NUHM!L55</f>
        <v>8.0700000000000038</v>
      </c>
      <c r="I42" s="137">
        <f>NUHM!M55</f>
        <v>0</v>
      </c>
      <c r="J42" s="137">
        <f>NUHM!N55</f>
        <v>36.089999999999989</v>
      </c>
      <c r="K42" s="137">
        <f>NUHM!O55</f>
        <v>0</v>
      </c>
      <c r="L42" s="137">
        <f>NUHM!P55</f>
        <v>0</v>
      </c>
      <c r="M42" s="137">
        <f>NUHM!Q55</f>
        <v>0</v>
      </c>
    </row>
    <row r="43" spans="1:13" s="138" customFormat="1" x14ac:dyDescent="0.25">
      <c r="A43" s="135">
        <v>40</v>
      </c>
      <c r="B43" s="136" t="s">
        <v>953</v>
      </c>
      <c r="C43" s="137">
        <f>NUHM!G58</f>
        <v>513.33999999999992</v>
      </c>
      <c r="D43" s="137">
        <f>NUHM!H58</f>
        <v>0</v>
      </c>
      <c r="E43" s="137">
        <f>NUHM!I58</f>
        <v>114.73</v>
      </c>
      <c r="F43" s="137">
        <f>NUHM!J58</f>
        <v>115.67</v>
      </c>
      <c r="G43" s="137">
        <f>NUHM!K58</f>
        <v>29.95</v>
      </c>
      <c r="H43" s="137">
        <f>NUHM!L58</f>
        <v>25.56</v>
      </c>
      <c r="I43" s="137">
        <f>NUHM!M58</f>
        <v>0</v>
      </c>
      <c r="J43" s="137">
        <f>NUHM!N58</f>
        <v>70.67</v>
      </c>
      <c r="K43" s="137">
        <f>NUHM!O58</f>
        <v>0</v>
      </c>
      <c r="L43" s="137">
        <f>NUHM!P58</f>
        <v>0</v>
      </c>
      <c r="M43" s="137">
        <f>NUHM!Q58</f>
        <v>0</v>
      </c>
    </row>
    <row r="44" spans="1:13" s="138" customFormat="1" x14ac:dyDescent="0.25">
      <c r="A44" s="135">
        <v>41</v>
      </c>
      <c r="B44" s="136" t="s">
        <v>954</v>
      </c>
      <c r="C44" s="137">
        <f>NUHM!G57</f>
        <v>14.09</v>
      </c>
      <c r="D44" s="137">
        <f>NUHM!H57</f>
        <v>14.09</v>
      </c>
      <c r="E44" s="137">
        <f>NUHM!I57</f>
        <v>0</v>
      </c>
      <c r="F44" s="137">
        <f>NUHM!J57</f>
        <v>0</v>
      </c>
      <c r="G44" s="137">
        <f>NUHM!K57</f>
        <v>0</v>
      </c>
      <c r="H44" s="137">
        <f>NUHM!L57</f>
        <v>0</v>
      </c>
      <c r="I44" s="137">
        <f>NUHM!M57</f>
        <v>0</v>
      </c>
      <c r="J44" s="137">
        <f>NUHM!N57</f>
        <v>0</v>
      </c>
      <c r="K44" s="137">
        <f>NUHM!O57</f>
        <v>0</v>
      </c>
      <c r="L44" s="137">
        <f>NUHM!P57</f>
        <v>0</v>
      </c>
      <c r="M44" s="137">
        <f>NUHM!Q57</f>
        <v>0</v>
      </c>
    </row>
    <row r="45" spans="1:13" s="138" customFormat="1" x14ac:dyDescent="0.25">
      <c r="A45" s="135">
        <v>42</v>
      </c>
      <c r="B45" s="136" t="s">
        <v>813</v>
      </c>
      <c r="C45" s="137">
        <f>SUM(D45:M45)</f>
        <v>6192.1107484659997</v>
      </c>
      <c r="D45" s="137">
        <v>8.0543317529999996</v>
      </c>
      <c r="E45" s="137">
        <v>1110.258653952</v>
      </c>
      <c r="F45" s="137">
        <v>677.18343123299996</v>
      </c>
      <c r="G45" s="137">
        <v>797.99840752800003</v>
      </c>
      <c r="H45" s="137">
        <v>472.72731750299999</v>
      </c>
      <c r="I45" s="137">
        <v>458.47734593999996</v>
      </c>
      <c r="J45" s="137">
        <v>1120.3599999999999</v>
      </c>
      <c r="K45" s="137">
        <v>744.7159051619999</v>
      </c>
      <c r="L45" s="137">
        <v>336.42324168299996</v>
      </c>
      <c r="M45" s="137">
        <v>465.91211371199995</v>
      </c>
    </row>
    <row r="46" spans="1:13" s="138" customFormat="1" x14ac:dyDescent="0.25">
      <c r="A46" s="135">
        <v>43</v>
      </c>
      <c r="B46" s="136" t="s">
        <v>814</v>
      </c>
      <c r="C46" s="137">
        <f t="shared" ref="C46:C47" si="0">SUM(D46:M46)</f>
        <v>1487.508</v>
      </c>
      <c r="D46" s="137">
        <v>505.97800000000001</v>
      </c>
      <c r="E46" s="137">
        <v>123.48</v>
      </c>
      <c r="F46" s="137">
        <v>118.47</v>
      </c>
      <c r="G46" s="137">
        <v>120.43</v>
      </c>
      <c r="H46" s="137">
        <v>98.47</v>
      </c>
      <c r="I46" s="137">
        <v>96.43</v>
      </c>
      <c r="J46" s="137">
        <v>120.49</v>
      </c>
      <c r="K46" s="137">
        <v>99.03</v>
      </c>
      <c r="L46" s="137">
        <v>96.47</v>
      </c>
      <c r="M46" s="137">
        <v>108.26</v>
      </c>
    </row>
    <row r="47" spans="1:13" s="138" customFormat="1" x14ac:dyDescent="0.25">
      <c r="A47" s="135">
        <v>44</v>
      </c>
      <c r="B47" s="136" t="s">
        <v>975</v>
      </c>
      <c r="C47" s="137">
        <f t="shared" si="0"/>
        <v>904.39697999999999</v>
      </c>
      <c r="D47" s="137">
        <v>0</v>
      </c>
      <c r="E47" s="137">
        <f>147.91168+8.8</f>
        <v>156.71168</v>
      </c>
      <c r="F47" s="137">
        <f>90.21622+8.9</f>
        <v>99.116220000000013</v>
      </c>
      <c r="G47" s="137">
        <f>106.31152+8.9</f>
        <v>115.21152000000001</v>
      </c>
      <c r="H47" s="137">
        <f>62.97802+8.9</f>
        <v>71.878020000000006</v>
      </c>
      <c r="I47" s="137">
        <f>61.0796+8.9+0.07</f>
        <v>70.049599999999998</v>
      </c>
      <c r="J47" s="137">
        <f>149.72756+8.9</f>
        <v>158.62756000000002</v>
      </c>
      <c r="K47" s="137">
        <f>99.21308+8.9</f>
        <v>108.11308000000001</v>
      </c>
      <c r="L47" s="137">
        <f>44.81922+8.9</f>
        <v>53.71922</v>
      </c>
      <c r="M47" s="137">
        <f>62.07008+8.9</f>
        <v>70.970079999999996</v>
      </c>
    </row>
    <row r="48" spans="1:13" s="138" customFormat="1" x14ac:dyDescent="0.25">
      <c r="A48" s="135">
        <v>45</v>
      </c>
      <c r="B48" s="136" t="s">
        <v>976</v>
      </c>
      <c r="C48" s="137">
        <f>SUM(D48:M48)</f>
        <v>435.30704000000003</v>
      </c>
      <c r="D48" s="137">
        <v>0.55418999999999996</v>
      </c>
      <c r="E48" s="137">
        <v>71</v>
      </c>
      <c r="F48" s="137">
        <v>46.594589999999997</v>
      </c>
      <c r="G48" s="137">
        <v>54.907440000000001</v>
      </c>
      <c r="H48" s="137">
        <v>32.526690000000002</v>
      </c>
      <c r="I48" s="137">
        <v>31.546199999999999</v>
      </c>
      <c r="J48" s="137">
        <v>82.13082</v>
      </c>
      <c r="K48" s="137">
        <v>56.041259999999994</v>
      </c>
      <c r="L48" s="137">
        <v>27.948090000000001</v>
      </c>
      <c r="M48" s="137">
        <v>32.057760000000002</v>
      </c>
    </row>
    <row r="49" spans="1:13" s="138" customFormat="1" ht="18.95" customHeight="1" x14ac:dyDescent="0.25">
      <c r="A49" s="313" t="s">
        <v>15</v>
      </c>
      <c r="B49" s="313"/>
      <c r="C49" s="140">
        <f t="shared" ref="C49:M49" si="1">SUM(C3:C48)</f>
        <v>18633.112382466006</v>
      </c>
      <c r="D49" s="140">
        <f t="shared" si="1"/>
        <v>3669.6364617529998</v>
      </c>
      <c r="E49" s="140">
        <f t="shared" si="1"/>
        <v>2457.906183952</v>
      </c>
      <c r="F49" s="140">
        <f t="shared" si="1"/>
        <v>1931.209171233</v>
      </c>
      <c r="G49" s="140">
        <f t="shared" si="1"/>
        <v>1857.889477528</v>
      </c>
      <c r="H49" s="140">
        <f t="shared" si="1"/>
        <v>1209.7007175029999</v>
      </c>
      <c r="I49" s="140">
        <f t="shared" si="1"/>
        <v>1330.20548794</v>
      </c>
      <c r="J49" s="140">
        <f t="shared" si="1"/>
        <v>2461.3127419999996</v>
      </c>
      <c r="K49" s="140">
        <f t="shared" si="1"/>
        <v>1605.5916551620001</v>
      </c>
      <c r="L49" s="140">
        <f t="shared" si="1"/>
        <v>990.28058168299992</v>
      </c>
      <c r="M49" s="140">
        <f t="shared" si="1"/>
        <v>1119.0299037119999</v>
      </c>
    </row>
    <row r="53" spans="1:13" x14ac:dyDescent="0.25">
      <c r="B53" s="132" t="s">
        <v>1038</v>
      </c>
      <c r="C53" s="142">
        <f>C44+C46</f>
        <v>1501.598</v>
      </c>
      <c r="D53" s="142">
        <f>C53/100</f>
        <v>15.015979999999999</v>
      </c>
    </row>
    <row r="54" spans="1:13" x14ac:dyDescent="0.25">
      <c r="B54" s="132" t="s">
        <v>1039</v>
      </c>
      <c r="C54" s="142">
        <f>C43+C45+C47+C48</f>
        <v>8045.154768466</v>
      </c>
      <c r="D54" s="142">
        <f>C54/100</f>
        <v>80.45154768466</v>
      </c>
    </row>
    <row r="55" spans="1:13" x14ac:dyDescent="0.25">
      <c r="B55" s="132" t="s">
        <v>19</v>
      </c>
      <c r="C55" s="142">
        <f>SUM(C43:C48)</f>
        <v>9546.7527684659999</v>
      </c>
      <c r="D55" s="142">
        <f>C55/100</f>
        <v>95.467527684659998</v>
      </c>
    </row>
    <row r="56" spans="1:13" x14ac:dyDescent="0.25">
      <c r="B56" s="132" t="s">
        <v>819</v>
      </c>
      <c r="C56" s="142">
        <f>C49-C55</f>
        <v>9086.3596140000063</v>
      </c>
      <c r="D56" s="142">
        <f>C56/100</f>
        <v>90.86359614000007</v>
      </c>
    </row>
    <row r="58" spans="1:13" x14ac:dyDescent="0.25">
      <c r="B58" s="132" t="s">
        <v>1041</v>
      </c>
      <c r="C58" s="142">
        <f>C44</f>
        <v>14.09</v>
      </c>
      <c r="D58" s="142">
        <f t="shared" ref="D58:D64" si="2">C58/100</f>
        <v>0.1409</v>
      </c>
    </row>
    <row r="59" spans="1:13" x14ac:dyDescent="0.25">
      <c r="B59" s="132" t="s">
        <v>1042</v>
      </c>
      <c r="C59" s="142">
        <f>C43</f>
        <v>513.33999999999992</v>
      </c>
      <c r="D59" s="142">
        <f t="shared" si="2"/>
        <v>5.1333999999999991</v>
      </c>
    </row>
    <row r="60" spans="1:13" x14ac:dyDescent="0.25">
      <c r="B60" s="132" t="s">
        <v>1043</v>
      </c>
      <c r="C60" s="142">
        <f>SUM(C58:C59)</f>
        <v>527.42999999999995</v>
      </c>
      <c r="D60" s="142">
        <f t="shared" si="2"/>
        <v>5.2742999999999993</v>
      </c>
    </row>
    <row r="62" spans="1:13" x14ac:dyDescent="0.25">
      <c r="B62" s="132" t="s">
        <v>1044</v>
      </c>
      <c r="C62" s="142">
        <f>C46</f>
        <v>1487.508</v>
      </c>
      <c r="D62" s="142">
        <f t="shared" si="2"/>
        <v>14.875080000000001</v>
      </c>
    </row>
    <row r="63" spans="1:13" x14ac:dyDescent="0.25">
      <c r="B63" s="132" t="s">
        <v>1045</v>
      </c>
      <c r="C63" s="142">
        <f>C45+C47+C48</f>
        <v>7531.8147684659998</v>
      </c>
      <c r="D63" s="142">
        <f t="shared" si="2"/>
        <v>75.318147684660005</v>
      </c>
    </row>
    <row r="64" spans="1:13" x14ac:dyDescent="0.25">
      <c r="B64" s="132" t="s">
        <v>1046</v>
      </c>
      <c r="C64" s="142">
        <f>SUM(C62:C63)</f>
        <v>9019.3227684659996</v>
      </c>
      <c r="D64" s="142">
        <f t="shared" si="2"/>
        <v>90.193227684660002</v>
      </c>
    </row>
  </sheetData>
  <sheetProtection selectLockedCells="1" selectUnlockedCells="1"/>
  <mergeCells count="2">
    <mergeCell ref="A1:M1"/>
    <mergeCell ref="A49:B49"/>
  </mergeCells>
  <pageMargins left="0.7" right="0.7" top="0.75" bottom="0.75" header="0.3" footer="0.3"/>
  <pageSetup paperSize="5" scale="86" fitToHeight="3" orientation="landscape" r:id="rId1"/>
  <rowBreaks count="1" manualBreakCount="1">
    <brk id="49" max="12" man="1"/>
  </rowBreaks>
  <colBreaks count="1" manualBreakCount="1">
    <brk id="13" max="38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2F6E-A273-4931-BA19-EDD4634B5070}">
  <sheetPr>
    <tabColor rgb="FFFF0000"/>
    <pageSetUpPr fitToPage="1"/>
  </sheetPr>
  <dimension ref="A1:R20"/>
  <sheetViews>
    <sheetView view="pageBreakPreview" topLeftCell="B1" zoomScaleSheetLayoutView="100" workbookViewId="0">
      <selection activeCell="K8" sqref="K8"/>
    </sheetView>
  </sheetViews>
  <sheetFormatPr defaultColWidth="8.85546875" defaultRowHeight="15.75" x14ac:dyDescent="0.25"/>
  <cols>
    <col min="1" max="2" width="13.85546875" style="185" customWidth="1"/>
    <col min="3" max="3" width="6.140625" style="189" bestFit="1" customWidth="1"/>
    <col min="4" max="4" width="31.28515625" style="185" bestFit="1" customWidth="1"/>
    <col min="5" max="5" width="28.140625" style="191" customWidth="1"/>
    <col min="6" max="6" width="48.140625" style="185" bestFit="1" customWidth="1"/>
    <col min="7" max="7" width="11.7109375" style="193" customWidth="1"/>
    <col min="8" max="9" width="11.7109375" style="189" customWidth="1"/>
    <col min="10" max="10" width="13.42578125" style="189" customWidth="1"/>
    <col min="11" max="17" width="11.7109375" style="189" customWidth="1"/>
    <col min="18" max="16384" width="8.85546875" style="185"/>
  </cols>
  <sheetData>
    <row r="1" spans="1:17" ht="15" customHeight="1" x14ac:dyDescent="0.25">
      <c r="A1" s="344" t="s">
        <v>862</v>
      </c>
      <c r="B1" s="344"/>
      <c r="C1" s="344"/>
      <c r="D1" s="344"/>
      <c r="E1" s="344"/>
      <c r="F1" s="344"/>
      <c r="G1" s="344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31.5" x14ac:dyDescent="0.25">
      <c r="A2" s="186" t="s">
        <v>722</v>
      </c>
      <c r="B2" s="186" t="s">
        <v>488</v>
      </c>
      <c r="C2" s="186" t="s">
        <v>751</v>
      </c>
      <c r="D2" s="186" t="s">
        <v>486</v>
      </c>
      <c r="E2" s="190" t="s">
        <v>487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</row>
    <row r="3" spans="1:17" x14ac:dyDescent="0.25">
      <c r="A3" s="39"/>
      <c r="B3" s="39"/>
      <c r="C3" s="40"/>
      <c r="D3" s="16"/>
      <c r="E3" s="39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1.5" x14ac:dyDescent="0.25">
      <c r="A4" s="17" t="s">
        <v>726</v>
      </c>
      <c r="B4" s="17" t="s">
        <v>36</v>
      </c>
      <c r="C4" s="40">
        <v>72</v>
      </c>
      <c r="D4" s="16" t="s">
        <v>599</v>
      </c>
      <c r="E4" s="16" t="s">
        <v>371</v>
      </c>
      <c r="F4" s="16" t="s">
        <v>917</v>
      </c>
      <c r="G4" s="181">
        <f>SUM(H4:Q4)</f>
        <v>0</v>
      </c>
      <c r="H4" s="58"/>
      <c r="I4" s="41"/>
      <c r="J4" s="41"/>
      <c r="K4" s="41"/>
      <c r="L4" s="41"/>
      <c r="M4" s="41"/>
      <c r="N4" s="41"/>
      <c r="O4" s="41"/>
      <c r="P4" s="41"/>
      <c r="Q4" s="41"/>
    </row>
    <row r="5" spans="1:17" ht="31.5" x14ac:dyDescent="0.25">
      <c r="A5" s="17" t="s">
        <v>916</v>
      </c>
      <c r="B5" s="17" t="s">
        <v>36</v>
      </c>
      <c r="C5" s="40">
        <v>72</v>
      </c>
      <c r="D5" s="16" t="s">
        <v>599</v>
      </c>
      <c r="E5" s="16" t="s">
        <v>371</v>
      </c>
      <c r="F5" s="192" t="s">
        <v>918</v>
      </c>
      <c r="G5" s="181">
        <f>SUM(H5:Q5)</f>
        <v>0</v>
      </c>
      <c r="H5" s="58"/>
      <c r="I5" s="41"/>
      <c r="J5" s="41"/>
      <c r="K5" s="41"/>
      <c r="L5" s="41"/>
      <c r="M5" s="41"/>
      <c r="N5" s="41"/>
      <c r="O5" s="41"/>
      <c r="P5" s="41"/>
      <c r="Q5" s="41"/>
    </row>
    <row r="6" spans="1:17" ht="30" customHeight="1" x14ac:dyDescent="0.25">
      <c r="A6" s="17" t="s">
        <v>726</v>
      </c>
      <c r="B6" s="17" t="s">
        <v>36</v>
      </c>
      <c r="C6" s="68">
        <v>69</v>
      </c>
      <c r="D6" s="17" t="s">
        <v>919</v>
      </c>
      <c r="E6" s="16" t="s">
        <v>398</v>
      </c>
      <c r="F6" s="17" t="s">
        <v>282</v>
      </c>
      <c r="G6" s="181">
        <f>SUM(H6:Q6)</f>
        <v>0.3</v>
      </c>
      <c r="H6" s="41">
        <v>0.3</v>
      </c>
      <c r="I6" s="58"/>
      <c r="J6" s="58"/>
      <c r="K6" s="58"/>
      <c r="L6" s="58"/>
      <c r="M6" s="58"/>
      <c r="N6" s="58"/>
      <c r="O6" s="58"/>
      <c r="P6" s="58"/>
      <c r="Q6" s="58"/>
    </row>
    <row r="7" spans="1:17" ht="38.25" customHeight="1" x14ac:dyDescent="0.25">
      <c r="A7" s="17" t="s">
        <v>726</v>
      </c>
      <c r="B7" s="17" t="s">
        <v>36</v>
      </c>
      <c r="C7" s="68">
        <v>72</v>
      </c>
      <c r="D7" s="18" t="s">
        <v>599</v>
      </c>
      <c r="E7" s="16" t="s">
        <v>397</v>
      </c>
      <c r="F7" s="18" t="s">
        <v>283</v>
      </c>
      <c r="G7" s="181">
        <f t="shared" ref="G7:G19" si="0">SUM(H7:Q7)</f>
        <v>0.5</v>
      </c>
      <c r="H7" s="41">
        <v>0.5</v>
      </c>
      <c r="I7" s="58"/>
      <c r="J7" s="58"/>
      <c r="K7" s="58"/>
      <c r="L7" s="58"/>
      <c r="M7" s="58"/>
      <c r="N7" s="58"/>
      <c r="O7" s="58"/>
      <c r="P7" s="58"/>
      <c r="Q7" s="58"/>
    </row>
    <row r="8" spans="1:17" ht="38.25" customHeight="1" x14ac:dyDescent="0.25">
      <c r="A8" s="17" t="s">
        <v>916</v>
      </c>
      <c r="B8" s="17" t="s">
        <v>36</v>
      </c>
      <c r="C8" s="68">
        <v>72</v>
      </c>
      <c r="D8" s="18" t="s">
        <v>919</v>
      </c>
      <c r="E8" s="16" t="s">
        <v>920</v>
      </c>
      <c r="F8" s="18" t="s">
        <v>921</v>
      </c>
      <c r="G8" s="181">
        <f t="shared" si="0"/>
        <v>0.1</v>
      </c>
      <c r="H8" s="41">
        <v>0.1</v>
      </c>
      <c r="I8" s="58"/>
      <c r="J8" s="58"/>
      <c r="K8" s="58"/>
      <c r="L8" s="58"/>
      <c r="M8" s="58"/>
      <c r="N8" s="58"/>
      <c r="O8" s="58"/>
      <c r="P8" s="58"/>
      <c r="Q8" s="58"/>
    </row>
    <row r="9" spans="1:17" ht="26.25" customHeight="1" x14ac:dyDescent="0.25">
      <c r="A9" s="17" t="s">
        <v>726</v>
      </c>
      <c r="B9" s="17" t="s">
        <v>36</v>
      </c>
      <c r="C9" s="68">
        <v>69</v>
      </c>
      <c r="D9" s="17" t="s">
        <v>919</v>
      </c>
      <c r="E9" s="16" t="s">
        <v>400</v>
      </c>
      <c r="F9" s="18" t="s">
        <v>284</v>
      </c>
      <c r="G9" s="181">
        <f t="shared" si="0"/>
        <v>2</v>
      </c>
      <c r="H9" s="41">
        <v>2</v>
      </c>
      <c r="I9" s="58"/>
      <c r="J9" s="58"/>
      <c r="K9" s="58"/>
      <c r="L9" s="58"/>
      <c r="M9" s="58"/>
      <c r="N9" s="58"/>
      <c r="O9" s="58"/>
      <c r="P9" s="58"/>
      <c r="Q9" s="58"/>
    </row>
    <row r="10" spans="1:17" ht="29.25" customHeight="1" x14ac:dyDescent="0.25">
      <c r="A10" s="17" t="s">
        <v>726</v>
      </c>
      <c r="B10" s="17" t="s">
        <v>36</v>
      </c>
      <c r="C10" s="68">
        <v>72</v>
      </c>
      <c r="D10" s="18" t="s">
        <v>599</v>
      </c>
      <c r="E10" s="16" t="s">
        <v>371</v>
      </c>
      <c r="F10" s="18" t="s">
        <v>285</v>
      </c>
      <c r="G10" s="181">
        <f t="shared" si="0"/>
        <v>1</v>
      </c>
      <c r="H10" s="41">
        <v>1</v>
      </c>
      <c r="I10" s="58"/>
      <c r="J10" s="58"/>
      <c r="K10" s="58"/>
      <c r="L10" s="58"/>
      <c r="M10" s="58"/>
      <c r="N10" s="58"/>
      <c r="O10" s="58"/>
      <c r="P10" s="58"/>
      <c r="Q10" s="58"/>
    </row>
    <row r="11" spans="1:17" ht="29.25" customHeight="1" x14ac:dyDescent="0.25">
      <c r="A11" s="17" t="s">
        <v>726</v>
      </c>
      <c r="B11" s="17" t="s">
        <v>36</v>
      </c>
      <c r="C11" s="68">
        <v>72</v>
      </c>
      <c r="D11" s="18" t="s">
        <v>599</v>
      </c>
      <c r="E11" s="16" t="s">
        <v>371</v>
      </c>
      <c r="F11" s="18" t="s">
        <v>286</v>
      </c>
      <c r="G11" s="181">
        <f t="shared" si="0"/>
        <v>1.36</v>
      </c>
      <c r="H11" s="41">
        <v>1.36</v>
      </c>
      <c r="I11" s="58"/>
      <c r="J11" s="58"/>
      <c r="K11" s="58"/>
      <c r="L11" s="58"/>
      <c r="M11" s="58"/>
      <c r="N11" s="58"/>
      <c r="O11" s="58"/>
      <c r="P11" s="58"/>
      <c r="Q11" s="58"/>
    </row>
    <row r="12" spans="1:17" ht="27.75" customHeight="1" x14ac:dyDescent="0.25">
      <c r="A12" s="17" t="s">
        <v>726</v>
      </c>
      <c r="B12" s="17" t="s">
        <v>36</v>
      </c>
      <c r="C12" s="68">
        <v>69</v>
      </c>
      <c r="D12" s="17" t="s">
        <v>919</v>
      </c>
      <c r="E12" s="16" t="s">
        <v>416</v>
      </c>
      <c r="F12" s="18" t="s">
        <v>287</v>
      </c>
      <c r="G12" s="181">
        <f t="shared" si="0"/>
        <v>0</v>
      </c>
      <c r="H12" s="41">
        <v>0</v>
      </c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30" customHeight="1" x14ac:dyDescent="0.25">
      <c r="A13" s="17" t="s">
        <v>726</v>
      </c>
      <c r="B13" s="17" t="s">
        <v>36</v>
      </c>
      <c r="C13" s="68">
        <v>72</v>
      </c>
      <c r="D13" s="18" t="s">
        <v>599</v>
      </c>
      <c r="E13" s="16" t="s">
        <v>371</v>
      </c>
      <c r="F13" s="18" t="s">
        <v>288</v>
      </c>
      <c r="G13" s="181">
        <f t="shared" si="0"/>
        <v>0.98</v>
      </c>
      <c r="H13" s="41">
        <v>0.98</v>
      </c>
      <c r="I13" s="58"/>
      <c r="J13" s="58"/>
      <c r="K13" s="58"/>
      <c r="L13" s="58"/>
      <c r="M13" s="58"/>
      <c r="N13" s="58"/>
      <c r="O13" s="58"/>
      <c r="P13" s="58"/>
      <c r="Q13" s="58"/>
    </row>
    <row r="14" spans="1:17" ht="30.75" customHeight="1" x14ac:dyDescent="0.25">
      <c r="A14" s="17" t="s">
        <v>726</v>
      </c>
      <c r="B14" s="17" t="s">
        <v>36</v>
      </c>
      <c r="C14" s="68">
        <v>72</v>
      </c>
      <c r="D14" s="18" t="s">
        <v>599</v>
      </c>
      <c r="E14" s="16" t="s">
        <v>371</v>
      </c>
      <c r="F14" s="18" t="s">
        <v>289</v>
      </c>
      <c r="G14" s="181">
        <f t="shared" si="0"/>
        <v>0.69</v>
      </c>
      <c r="H14" s="41">
        <v>0.69</v>
      </c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36" customHeight="1" x14ac:dyDescent="0.25">
      <c r="A15" s="17" t="s">
        <v>726</v>
      </c>
      <c r="B15" s="17" t="s">
        <v>36</v>
      </c>
      <c r="C15" s="68">
        <v>72</v>
      </c>
      <c r="D15" s="18" t="s">
        <v>599</v>
      </c>
      <c r="E15" s="16" t="s">
        <v>371</v>
      </c>
      <c r="F15" s="18" t="s">
        <v>290</v>
      </c>
      <c r="G15" s="181">
        <f t="shared" si="0"/>
        <v>0.74</v>
      </c>
      <c r="H15" s="41">
        <f>0.45+0.29</f>
        <v>0.74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ht="35.25" customHeight="1" x14ac:dyDescent="0.25">
      <c r="A16" s="17" t="s">
        <v>726</v>
      </c>
      <c r="B16" s="17" t="s">
        <v>36</v>
      </c>
      <c r="C16" s="68">
        <v>72</v>
      </c>
      <c r="D16" s="18" t="s">
        <v>599</v>
      </c>
      <c r="E16" s="16" t="s">
        <v>371</v>
      </c>
      <c r="F16" s="18" t="s">
        <v>291</v>
      </c>
      <c r="G16" s="181">
        <f t="shared" si="0"/>
        <v>0.45</v>
      </c>
      <c r="H16" s="41">
        <v>0.45</v>
      </c>
      <c r="I16" s="2"/>
      <c r="J16" s="2"/>
      <c r="K16" s="2"/>
      <c r="L16" s="2"/>
      <c r="M16" s="2"/>
      <c r="N16" s="2"/>
      <c r="O16" s="2"/>
      <c r="P16" s="2"/>
      <c r="Q16" s="2"/>
    </row>
    <row r="17" spans="1:18" ht="34.5" customHeight="1" x14ac:dyDescent="0.25">
      <c r="A17" s="17" t="s">
        <v>726</v>
      </c>
      <c r="B17" s="17" t="s">
        <v>36</v>
      </c>
      <c r="C17" s="68">
        <v>69</v>
      </c>
      <c r="D17" s="17" t="s">
        <v>919</v>
      </c>
      <c r="E17" s="16" t="s">
        <v>371</v>
      </c>
      <c r="F17" s="18" t="s">
        <v>292</v>
      </c>
      <c r="G17" s="181">
        <f t="shared" si="0"/>
        <v>2.1</v>
      </c>
      <c r="H17" s="41">
        <v>2.1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8" ht="24" customHeight="1" x14ac:dyDescent="0.25">
      <c r="A18" s="17" t="s">
        <v>726</v>
      </c>
      <c r="B18" s="17" t="s">
        <v>36</v>
      </c>
      <c r="C18" s="68">
        <v>69</v>
      </c>
      <c r="D18" s="17" t="s">
        <v>919</v>
      </c>
      <c r="E18" s="16" t="s">
        <v>401</v>
      </c>
      <c r="F18" s="18" t="s">
        <v>293</v>
      </c>
      <c r="G18" s="181">
        <f t="shared" si="0"/>
        <v>3.77</v>
      </c>
      <c r="H18" s="41">
        <v>3.77</v>
      </c>
      <c r="I18" s="58"/>
      <c r="J18" s="58"/>
      <c r="K18" s="58"/>
      <c r="L18" s="58"/>
      <c r="M18" s="58"/>
      <c r="N18" s="58"/>
      <c r="O18" s="58"/>
      <c r="P18" s="58"/>
      <c r="Q18" s="58"/>
    </row>
    <row r="19" spans="1:18" ht="20.25" customHeight="1" x14ac:dyDescent="0.25">
      <c r="A19" s="17" t="s">
        <v>726</v>
      </c>
      <c r="B19" s="17" t="s">
        <v>36</v>
      </c>
      <c r="C19" s="68">
        <v>72</v>
      </c>
      <c r="D19" s="18" t="s">
        <v>599</v>
      </c>
      <c r="E19" s="16" t="s">
        <v>401</v>
      </c>
      <c r="F19" s="18" t="s">
        <v>294</v>
      </c>
      <c r="G19" s="181">
        <f t="shared" si="0"/>
        <v>3.15</v>
      </c>
      <c r="H19" s="41">
        <v>3.15</v>
      </c>
      <c r="I19" s="58"/>
      <c r="J19" s="58"/>
      <c r="K19" s="58"/>
      <c r="L19" s="58"/>
      <c r="M19" s="58"/>
      <c r="N19" s="58"/>
      <c r="O19" s="58"/>
      <c r="P19" s="58"/>
      <c r="Q19" s="58"/>
    </row>
    <row r="20" spans="1:18" s="188" customFormat="1" ht="32.25" customHeight="1" x14ac:dyDescent="0.25">
      <c r="A20" s="172"/>
      <c r="B20" s="172"/>
      <c r="C20" s="184"/>
      <c r="D20" s="18"/>
      <c r="E20" s="39"/>
      <c r="F20" s="172" t="s">
        <v>325</v>
      </c>
      <c r="G20" s="41">
        <f>SUM(G4:G19)</f>
        <v>17.139999999999997</v>
      </c>
      <c r="H20" s="41">
        <f t="shared" ref="H20:Q20" si="1">SUM(H4:H19)</f>
        <v>17.139999999999997</v>
      </c>
      <c r="I20" s="41">
        <f t="shared" si="1"/>
        <v>0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0</v>
      </c>
      <c r="N20" s="41">
        <f t="shared" si="1"/>
        <v>0</v>
      </c>
      <c r="O20" s="41">
        <f t="shared" si="1"/>
        <v>0</v>
      </c>
      <c r="P20" s="41">
        <f t="shared" si="1"/>
        <v>0</v>
      </c>
      <c r="Q20" s="41">
        <f t="shared" si="1"/>
        <v>0</v>
      </c>
      <c r="R20" s="187"/>
    </row>
  </sheetData>
  <autoFilter ref="A3:Q20" xr:uid="{1B172F6E-A273-4931-BA19-EDD4634B5070}"/>
  <mergeCells count="1">
    <mergeCell ref="A1:G1"/>
  </mergeCells>
  <phoneticPr fontId="15" type="noConversion"/>
  <pageMargins left="0.74" right="0.16" top="0.75" bottom="0.2" header="0.3" footer="0.3"/>
  <pageSetup paperSize="5" scale="6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FE7C-E80B-46A5-99BD-A23483AF8427}">
  <sheetPr>
    <tabColor rgb="FFFF0000"/>
    <pageSetUpPr fitToPage="1"/>
  </sheetPr>
  <dimension ref="A1:S48"/>
  <sheetViews>
    <sheetView view="pageBreakPreview" zoomScale="80" zoomScaleSheetLayoutView="80" workbookViewId="0">
      <pane ySplit="2" topLeftCell="A30" activePane="bottomLeft" state="frozen"/>
      <selection pane="bottomLeft" activeCell="H39" sqref="H39:Q41"/>
    </sheetView>
  </sheetViews>
  <sheetFormatPr defaultColWidth="9.140625" defaultRowHeight="15.75" x14ac:dyDescent="0.25"/>
  <cols>
    <col min="1" max="1" width="9" style="124" bestFit="1" customWidth="1"/>
    <col min="2" max="2" width="12.7109375" style="124" customWidth="1"/>
    <col min="3" max="3" width="9" style="123" customWidth="1"/>
    <col min="4" max="4" width="24.42578125" style="124" customWidth="1"/>
    <col min="5" max="5" width="20.28515625" style="124" customWidth="1"/>
    <col min="6" max="6" width="41.7109375" style="113" customWidth="1"/>
    <col min="7" max="7" width="16.7109375" style="117" customWidth="1"/>
    <col min="8" max="17" width="16.7109375" style="121" customWidth="1"/>
    <col min="18" max="18" width="6.7109375" style="112" customWidth="1"/>
    <col min="19" max="19" width="9.140625" style="112"/>
    <col min="20" max="16384" width="9.140625" style="113"/>
  </cols>
  <sheetData>
    <row r="1" spans="1:19" ht="24" customHeight="1" x14ac:dyDescent="0.25">
      <c r="A1" s="349" t="s">
        <v>863</v>
      </c>
      <c r="B1" s="349"/>
      <c r="C1" s="349"/>
      <c r="D1" s="349"/>
      <c r="E1" s="349"/>
      <c r="F1" s="349"/>
      <c r="G1" s="349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11"/>
    </row>
    <row r="2" spans="1:19" s="111" customFormat="1" ht="55.5" customHeight="1" x14ac:dyDescent="0.25">
      <c r="A2" s="114" t="s">
        <v>705</v>
      </c>
      <c r="B2" s="114" t="s">
        <v>18</v>
      </c>
      <c r="C2" s="114" t="s">
        <v>17</v>
      </c>
      <c r="D2" s="114" t="s">
        <v>486</v>
      </c>
      <c r="E2" s="114" t="s">
        <v>487</v>
      </c>
      <c r="F2" s="114" t="s">
        <v>988</v>
      </c>
      <c r="G2" s="116" t="s">
        <v>836</v>
      </c>
      <c r="H2" s="116" t="s">
        <v>3</v>
      </c>
      <c r="I2" s="116" t="s">
        <v>4</v>
      </c>
      <c r="J2" s="116" t="s">
        <v>5</v>
      </c>
      <c r="K2" s="116" t="s">
        <v>6</v>
      </c>
      <c r="L2" s="116" t="s">
        <v>7</v>
      </c>
      <c r="M2" s="116" t="s">
        <v>8</v>
      </c>
      <c r="N2" s="116" t="s">
        <v>9</v>
      </c>
      <c r="O2" s="116" t="s">
        <v>10</v>
      </c>
      <c r="P2" s="116" t="s">
        <v>11</v>
      </c>
      <c r="Q2" s="116" t="s">
        <v>12</v>
      </c>
      <c r="R2" s="117"/>
      <c r="S2" s="117"/>
    </row>
    <row r="3" spans="1:19" s="111" customFormat="1" x14ac:dyDescent="0.25">
      <c r="A3" s="114"/>
      <c r="B3" s="114"/>
      <c r="C3" s="114"/>
      <c r="D3" s="114"/>
      <c r="E3" s="114"/>
      <c r="F3" s="114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  <c r="S3" s="117"/>
    </row>
    <row r="4" spans="1:19" ht="31.5" x14ac:dyDescent="0.25">
      <c r="A4" s="119" t="s">
        <v>748</v>
      </c>
      <c r="B4" s="119" t="s">
        <v>38</v>
      </c>
      <c r="C4" s="118">
        <v>73</v>
      </c>
      <c r="D4" s="118" t="s">
        <v>569</v>
      </c>
      <c r="E4" s="118" t="s">
        <v>588</v>
      </c>
      <c r="F4" s="221" t="s">
        <v>589</v>
      </c>
      <c r="G4" s="182">
        <f t="shared" ref="G4:G46" si="0">SUM(H4:Q4)</f>
        <v>20</v>
      </c>
      <c r="H4" s="120"/>
      <c r="I4" s="120"/>
      <c r="J4" s="226">
        <v>5</v>
      </c>
      <c r="K4" s="226">
        <v>2</v>
      </c>
      <c r="L4" s="226">
        <v>2</v>
      </c>
      <c r="M4" s="226">
        <v>2</v>
      </c>
      <c r="N4" s="226">
        <v>3</v>
      </c>
      <c r="O4" s="227">
        <v>2</v>
      </c>
      <c r="P4" s="226">
        <v>2</v>
      </c>
      <c r="Q4" s="226">
        <v>2</v>
      </c>
    </row>
    <row r="5" spans="1:19" ht="31.5" x14ac:dyDescent="0.25">
      <c r="A5" s="119" t="s">
        <v>748</v>
      </c>
      <c r="B5" s="119" t="s">
        <v>38</v>
      </c>
      <c r="C5" s="118">
        <v>73</v>
      </c>
      <c r="D5" s="119" t="s">
        <v>569</v>
      </c>
      <c r="E5" s="119" t="s">
        <v>575</v>
      </c>
      <c r="F5" s="221" t="s">
        <v>300</v>
      </c>
      <c r="G5" s="182">
        <f t="shared" si="0"/>
        <v>9.5</v>
      </c>
      <c r="H5" s="120"/>
      <c r="I5" s="120"/>
      <c r="J5" s="226">
        <v>2</v>
      </c>
      <c r="K5" s="226">
        <v>1</v>
      </c>
      <c r="L5" s="226">
        <v>1</v>
      </c>
      <c r="M5" s="226">
        <v>1</v>
      </c>
      <c r="N5" s="226">
        <v>1.5</v>
      </c>
      <c r="O5" s="226">
        <v>1</v>
      </c>
      <c r="P5" s="226">
        <v>1</v>
      </c>
      <c r="Q5" s="226">
        <v>1</v>
      </c>
    </row>
    <row r="6" spans="1:19" ht="31.5" x14ac:dyDescent="0.25">
      <c r="A6" s="119" t="s">
        <v>748</v>
      </c>
      <c r="B6" s="119" t="s">
        <v>38</v>
      </c>
      <c r="C6" s="118">
        <v>73</v>
      </c>
      <c r="D6" s="119" t="s">
        <v>569</v>
      </c>
      <c r="E6" s="119" t="s">
        <v>575</v>
      </c>
      <c r="F6" s="221" t="s">
        <v>309</v>
      </c>
      <c r="G6" s="182">
        <f t="shared" si="0"/>
        <v>45.35</v>
      </c>
      <c r="H6" s="120">
        <v>31.35</v>
      </c>
      <c r="I6" s="120"/>
      <c r="J6" s="226">
        <v>1.75</v>
      </c>
      <c r="K6" s="226">
        <v>1.75</v>
      </c>
      <c r="L6" s="226">
        <v>1.75</v>
      </c>
      <c r="M6" s="226">
        <v>1.75</v>
      </c>
      <c r="N6" s="226">
        <v>1.75</v>
      </c>
      <c r="O6" s="226">
        <v>1.75</v>
      </c>
      <c r="P6" s="226">
        <v>1.75</v>
      </c>
      <c r="Q6" s="226">
        <v>1.75</v>
      </c>
    </row>
    <row r="7" spans="1:19" ht="31.5" x14ac:dyDescent="0.25">
      <c r="A7" s="119" t="s">
        <v>748</v>
      </c>
      <c r="B7" s="119" t="s">
        <v>38</v>
      </c>
      <c r="C7" s="118">
        <v>73</v>
      </c>
      <c r="D7" s="119" t="s">
        <v>569</v>
      </c>
      <c r="E7" s="119" t="s">
        <v>575</v>
      </c>
      <c r="F7" s="221" t="s">
        <v>310</v>
      </c>
      <c r="G7" s="182">
        <f t="shared" si="0"/>
        <v>1</v>
      </c>
      <c r="H7" s="120">
        <v>1</v>
      </c>
      <c r="I7" s="120"/>
      <c r="J7" s="120"/>
      <c r="K7" s="120"/>
      <c r="L7" s="120"/>
      <c r="M7" s="120"/>
      <c r="N7" s="120"/>
      <c r="O7" s="120"/>
      <c r="P7" s="120"/>
      <c r="Q7" s="120"/>
    </row>
    <row r="8" spans="1:19" ht="31.5" x14ac:dyDescent="0.25">
      <c r="A8" s="119" t="s">
        <v>748</v>
      </c>
      <c r="B8" s="119" t="s">
        <v>38</v>
      </c>
      <c r="C8" s="118">
        <v>73</v>
      </c>
      <c r="D8" s="119" t="s">
        <v>569</v>
      </c>
      <c r="E8" s="119" t="s">
        <v>396</v>
      </c>
      <c r="F8" s="221" t="s">
        <v>297</v>
      </c>
      <c r="G8" s="182">
        <f t="shared" si="0"/>
        <v>20</v>
      </c>
      <c r="H8" s="120"/>
      <c r="I8" s="120"/>
      <c r="J8" s="226">
        <v>11.2</v>
      </c>
      <c r="K8" s="226">
        <v>1.5</v>
      </c>
      <c r="L8" s="226">
        <v>1.5</v>
      </c>
      <c r="M8" s="226">
        <v>1</v>
      </c>
      <c r="N8" s="226">
        <v>2.5</v>
      </c>
      <c r="O8" s="227">
        <v>0.5</v>
      </c>
      <c r="P8" s="226">
        <v>1.2</v>
      </c>
      <c r="Q8" s="226">
        <v>0.6</v>
      </c>
    </row>
    <row r="9" spans="1:19" ht="47.25" x14ac:dyDescent="0.25">
      <c r="A9" s="119" t="s">
        <v>748</v>
      </c>
      <c r="B9" s="119" t="s">
        <v>38</v>
      </c>
      <c r="C9" s="118">
        <v>73</v>
      </c>
      <c r="D9" s="119" t="s">
        <v>569</v>
      </c>
      <c r="E9" s="119" t="s">
        <v>566</v>
      </c>
      <c r="F9" s="221" t="s">
        <v>304</v>
      </c>
      <c r="G9" s="182">
        <f t="shared" si="0"/>
        <v>47</v>
      </c>
      <c r="H9" s="120"/>
      <c r="I9" s="120"/>
      <c r="J9" s="226">
        <v>10</v>
      </c>
      <c r="K9" s="226">
        <v>5</v>
      </c>
      <c r="L9" s="226">
        <v>5</v>
      </c>
      <c r="M9" s="226">
        <v>5</v>
      </c>
      <c r="N9" s="226">
        <v>7</v>
      </c>
      <c r="O9" s="227">
        <v>5</v>
      </c>
      <c r="P9" s="226">
        <v>5</v>
      </c>
      <c r="Q9" s="226">
        <v>5</v>
      </c>
    </row>
    <row r="10" spans="1:19" ht="47.25" x14ac:dyDescent="0.25">
      <c r="A10" s="119" t="s">
        <v>748</v>
      </c>
      <c r="B10" s="119" t="s">
        <v>38</v>
      </c>
      <c r="C10" s="118">
        <v>73</v>
      </c>
      <c r="D10" s="119" t="s">
        <v>569</v>
      </c>
      <c r="E10" s="119" t="s">
        <v>566</v>
      </c>
      <c r="F10" s="221" t="s">
        <v>308</v>
      </c>
      <c r="G10" s="182">
        <f t="shared" si="0"/>
        <v>32</v>
      </c>
      <c r="H10" s="120">
        <v>5</v>
      </c>
      <c r="I10" s="120"/>
      <c r="J10" s="226">
        <v>5</v>
      </c>
      <c r="K10" s="226">
        <v>3</v>
      </c>
      <c r="L10" s="226">
        <v>3</v>
      </c>
      <c r="M10" s="226">
        <v>3</v>
      </c>
      <c r="N10" s="226">
        <v>4</v>
      </c>
      <c r="O10" s="227">
        <v>3</v>
      </c>
      <c r="P10" s="226">
        <v>3</v>
      </c>
      <c r="Q10" s="226">
        <v>3</v>
      </c>
    </row>
    <row r="11" spans="1:19" ht="31.5" x14ac:dyDescent="0.25">
      <c r="A11" s="119" t="s">
        <v>748</v>
      </c>
      <c r="B11" s="119" t="s">
        <v>38</v>
      </c>
      <c r="C11" s="118">
        <v>73</v>
      </c>
      <c r="D11" s="119" t="s">
        <v>569</v>
      </c>
      <c r="E11" s="119" t="s">
        <v>118</v>
      </c>
      <c r="F11" s="221" t="s">
        <v>306</v>
      </c>
      <c r="G11" s="182">
        <f t="shared" si="0"/>
        <v>4.5</v>
      </c>
      <c r="H11" s="120">
        <v>4.5</v>
      </c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9" ht="31.5" x14ac:dyDescent="0.25">
      <c r="A12" s="119" t="s">
        <v>748</v>
      </c>
      <c r="B12" s="119" t="s">
        <v>38</v>
      </c>
      <c r="C12" s="118">
        <v>73</v>
      </c>
      <c r="D12" s="119" t="s">
        <v>569</v>
      </c>
      <c r="E12" s="119" t="s">
        <v>118</v>
      </c>
      <c r="F12" s="221" t="s">
        <v>315</v>
      </c>
      <c r="G12" s="182">
        <f t="shared" si="0"/>
        <v>0.5</v>
      </c>
      <c r="H12" s="120">
        <v>0.5</v>
      </c>
      <c r="I12" s="120"/>
      <c r="J12" s="120"/>
      <c r="K12" s="120"/>
      <c r="L12" s="120"/>
      <c r="M12" s="120"/>
      <c r="N12" s="120"/>
      <c r="O12" s="120"/>
      <c r="P12" s="120"/>
      <c r="Q12" s="120"/>
    </row>
    <row r="13" spans="1:19" ht="31.5" x14ac:dyDescent="0.25">
      <c r="A13" s="119" t="s">
        <v>748</v>
      </c>
      <c r="B13" s="119" t="s">
        <v>38</v>
      </c>
      <c r="C13" s="118">
        <v>73</v>
      </c>
      <c r="D13" s="119" t="s">
        <v>569</v>
      </c>
      <c r="E13" s="119" t="s">
        <v>582</v>
      </c>
      <c r="F13" s="221" t="s">
        <v>583</v>
      </c>
      <c r="G13" s="182">
        <f t="shared" si="0"/>
        <v>15</v>
      </c>
      <c r="H13" s="120">
        <v>15</v>
      </c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ht="31.5" x14ac:dyDescent="0.25">
      <c r="A14" s="119" t="s">
        <v>748</v>
      </c>
      <c r="B14" s="119" t="s">
        <v>38</v>
      </c>
      <c r="C14" s="118">
        <v>73</v>
      </c>
      <c r="D14" s="119" t="s">
        <v>569</v>
      </c>
      <c r="E14" s="119" t="s">
        <v>578</v>
      </c>
      <c r="F14" s="221" t="s">
        <v>302</v>
      </c>
      <c r="G14" s="182">
        <f t="shared" si="0"/>
        <v>10</v>
      </c>
      <c r="H14" s="120">
        <v>10</v>
      </c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 ht="31.5" x14ac:dyDescent="0.25">
      <c r="A15" s="119" t="s">
        <v>748</v>
      </c>
      <c r="B15" s="119" t="s">
        <v>38</v>
      </c>
      <c r="C15" s="118">
        <v>73</v>
      </c>
      <c r="D15" s="119" t="s">
        <v>569</v>
      </c>
      <c r="E15" s="119" t="s">
        <v>578</v>
      </c>
      <c r="F15" s="221" t="s">
        <v>303</v>
      </c>
      <c r="G15" s="182">
        <f t="shared" si="0"/>
        <v>29</v>
      </c>
      <c r="H15" s="120">
        <v>5</v>
      </c>
      <c r="I15" s="120"/>
      <c r="J15" s="226">
        <v>3</v>
      </c>
      <c r="K15" s="226">
        <v>3</v>
      </c>
      <c r="L15" s="226">
        <v>3</v>
      </c>
      <c r="M15" s="226">
        <v>3</v>
      </c>
      <c r="N15" s="226">
        <v>3</v>
      </c>
      <c r="O15" s="227">
        <v>3</v>
      </c>
      <c r="P15" s="226">
        <v>3</v>
      </c>
      <c r="Q15" s="226">
        <v>3</v>
      </c>
    </row>
    <row r="16" spans="1:19" ht="31.5" x14ac:dyDescent="0.25">
      <c r="A16" s="119" t="s">
        <v>748</v>
      </c>
      <c r="B16" s="119" t="s">
        <v>38</v>
      </c>
      <c r="C16" s="118">
        <v>73</v>
      </c>
      <c r="D16" s="119" t="s">
        <v>569</v>
      </c>
      <c r="E16" s="119" t="s">
        <v>576</v>
      </c>
      <c r="F16" s="221" t="s">
        <v>301</v>
      </c>
      <c r="G16" s="182">
        <f t="shared" si="0"/>
        <v>31</v>
      </c>
      <c r="H16" s="120">
        <v>5</v>
      </c>
      <c r="I16" s="120"/>
      <c r="J16" s="226">
        <v>5</v>
      </c>
      <c r="K16" s="226">
        <v>3</v>
      </c>
      <c r="L16" s="226">
        <v>3</v>
      </c>
      <c r="M16" s="226">
        <v>3</v>
      </c>
      <c r="N16" s="226">
        <v>3</v>
      </c>
      <c r="O16" s="227">
        <v>3</v>
      </c>
      <c r="P16" s="226">
        <v>3</v>
      </c>
      <c r="Q16" s="226">
        <v>3</v>
      </c>
    </row>
    <row r="17" spans="1:18" ht="31.5" x14ac:dyDescent="0.25">
      <c r="A17" s="119" t="s">
        <v>748</v>
      </c>
      <c r="B17" s="119" t="s">
        <v>38</v>
      </c>
      <c r="C17" s="118">
        <v>73</v>
      </c>
      <c r="D17" s="119" t="s">
        <v>569</v>
      </c>
      <c r="E17" s="119" t="s">
        <v>571</v>
      </c>
      <c r="F17" s="221" t="s">
        <v>572</v>
      </c>
      <c r="G17" s="182">
        <f t="shared" si="0"/>
        <v>16</v>
      </c>
      <c r="H17" s="120"/>
      <c r="I17" s="120"/>
      <c r="J17" s="226">
        <v>2</v>
      </c>
      <c r="K17" s="226">
        <v>2</v>
      </c>
      <c r="L17" s="226">
        <v>2</v>
      </c>
      <c r="M17" s="226">
        <v>2</v>
      </c>
      <c r="N17" s="226">
        <v>2</v>
      </c>
      <c r="O17" s="227">
        <v>2</v>
      </c>
      <c r="P17" s="226">
        <v>2</v>
      </c>
      <c r="Q17" s="226">
        <v>2</v>
      </c>
    </row>
    <row r="18" spans="1:18" s="112" customFormat="1" ht="31.5" x14ac:dyDescent="0.25">
      <c r="A18" s="119" t="s">
        <v>748</v>
      </c>
      <c r="B18" s="119" t="s">
        <v>38</v>
      </c>
      <c r="C18" s="118">
        <v>73</v>
      </c>
      <c r="D18" s="119" t="s">
        <v>569</v>
      </c>
      <c r="E18" s="119" t="s">
        <v>571</v>
      </c>
      <c r="F18" s="221" t="s">
        <v>573</v>
      </c>
      <c r="G18" s="182">
        <f t="shared" si="0"/>
        <v>0</v>
      </c>
      <c r="H18" s="120"/>
      <c r="I18" s="120"/>
      <c r="J18" s="226"/>
      <c r="K18" s="226"/>
      <c r="L18" s="226"/>
      <c r="M18" s="226"/>
      <c r="N18" s="226"/>
      <c r="O18" s="227"/>
      <c r="P18" s="226"/>
      <c r="Q18" s="226"/>
    </row>
    <row r="19" spans="1:18" s="112" customFormat="1" ht="31.5" x14ac:dyDescent="0.25">
      <c r="A19" s="119" t="s">
        <v>748</v>
      </c>
      <c r="B19" s="119" t="s">
        <v>38</v>
      </c>
      <c r="C19" s="118">
        <v>73</v>
      </c>
      <c r="D19" s="119" t="s">
        <v>569</v>
      </c>
      <c r="E19" s="119" t="s">
        <v>571</v>
      </c>
      <c r="F19" s="221" t="s">
        <v>579</v>
      </c>
      <c r="G19" s="182">
        <f t="shared" si="0"/>
        <v>0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8" s="112" customFormat="1" ht="31.5" x14ac:dyDescent="0.25">
      <c r="A20" s="119" t="s">
        <v>748</v>
      </c>
      <c r="B20" s="119" t="s">
        <v>38</v>
      </c>
      <c r="C20" s="118">
        <v>73</v>
      </c>
      <c r="D20" s="119" t="s">
        <v>569</v>
      </c>
      <c r="E20" s="119" t="s">
        <v>571</v>
      </c>
      <c r="F20" s="221" t="s">
        <v>99</v>
      </c>
      <c r="G20" s="182">
        <f t="shared" si="0"/>
        <v>11.3</v>
      </c>
      <c r="H20" s="120">
        <v>11.3</v>
      </c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8" s="112" customFormat="1" ht="31.5" x14ac:dyDescent="0.25">
      <c r="A21" s="119" t="s">
        <v>748</v>
      </c>
      <c r="B21" s="119" t="s">
        <v>38</v>
      </c>
      <c r="C21" s="118">
        <v>73</v>
      </c>
      <c r="D21" s="119" t="s">
        <v>569</v>
      </c>
      <c r="E21" s="119" t="s">
        <v>574</v>
      </c>
      <c r="F21" s="221" t="s">
        <v>299</v>
      </c>
      <c r="G21" s="182">
        <f t="shared" si="0"/>
        <v>3.6999999999999997</v>
      </c>
      <c r="H21" s="120">
        <v>0.5</v>
      </c>
      <c r="I21" s="120"/>
      <c r="J21" s="226">
        <v>0.4</v>
      </c>
      <c r="K21" s="226">
        <v>0.4</v>
      </c>
      <c r="L21" s="226">
        <v>0.4</v>
      </c>
      <c r="M21" s="226">
        <v>0.4</v>
      </c>
      <c r="N21" s="226">
        <v>0.4</v>
      </c>
      <c r="O21" s="226">
        <v>0.4</v>
      </c>
      <c r="P21" s="226">
        <v>0.4</v>
      </c>
      <c r="Q21" s="226">
        <v>0.4</v>
      </c>
    </row>
    <row r="22" spans="1:18" s="112" customFormat="1" ht="31.5" x14ac:dyDescent="0.25">
      <c r="A22" s="119" t="s">
        <v>748</v>
      </c>
      <c r="B22" s="119" t="s">
        <v>38</v>
      </c>
      <c r="C22" s="118">
        <v>73</v>
      </c>
      <c r="D22" s="119" t="s">
        <v>569</v>
      </c>
      <c r="E22" s="119" t="s">
        <v>574</v>
      </c>
      <c r="F22" s="221" t="s">
        <v>311</v>
      </c>
      <c r="G22" s="182">
        <f t="shared" si="0"/>
        <v>10</v>
      </c>
      <c r="H22" s="120">
        <v>10</v>
      </c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8" s="112" customFormat="1" ht="31.5" x14ac:dyDescent="0.25">
      <c r="A23" s="119" t="s">
        <v>748</v>
      </c>
      <c r="B23" s="119" t="s">
        <v>38</v>
      </c>
      <c r="C23" s="118">
        <v>73</v>
      </c>
      <c r="D23" s="119" t="s">
        <v>569</v>
      </c>
      <c r="E23" s="119" t="s">
        <v>574</v>
      </c>
      <c r="F23" s="221" t="s">
        <v>352</v>
      </c>
      <c r="G23" s="182">
        <f t="shared" si="0"/>
        <v>0</v>
      </c>
      <c r="H23" s="120"/>
      <c r="I23" s="120"/>
      <c r="J23" s="226"/>
      <c r="K23" s="226"/>
      <c r="L23" s="226"/>
      <c r="M23" s="226"/>
      <c r="N23" s="226"/>
      <c r="O23" s="227"/>
      <c r="P23" s="226"/>
      <c r="Q23" s="226"/>
    </row>
    <row r="24" spans="1:18" s="112" customFormat="1" ht="31.5" x14ac:dyDescent="0.25">
      <c r="A24" s="119" t="s">
        <v>748</v>
      </c>
      <c r="B24" s="119" t="s">
        <v>38</v>
      </c>
      <c r="C24" s="118">
        <v>73</v>
      </c>
      <c r="D24" s="119" t="s">
        <v>569</v>
      </c>
      <c r="E24" s="119" t="s">
        <v>574</v>
      </c>
      <c r="F24" s="221" t="s">
        <v>906</v>
      </c>
      <c r="G24" s="182">
        <f t="shared" si="0"/>
        <v>5</v>
      </c>
      <c r="H24" s="120">
        <v>5</v>
      </c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8" s="112" customFormat="1" ht="31.5" x14ac:dyDescent="0.25">
      <c r="A25" s="119" t="s">
        <v>748</v>
      </c>
      <c r="B25" s="119" t="s">
        <v>38</v>
      </c>
      <c r="C25" s="118">
        <v>73</v>
      </c>
      <c r="D25" s="118" t="s">
        <v>569</v>
      </c>
      <c r="E25" s="118" t="s">
        <v>574</v>
      </c>
      <c r="F25" s="221" t="s">
        <v>587</v>
      </c>
      <c r="G25" s="182">
        <f t="shared" si="0"/>
        <v>8</v>
      </c>
      <c r="H25" s="120">
        <v>8</v>
      </c>
      <c r="I25" s="120"/>
      <c r="J25" s="120"/>
      <c r="K25" s="120"/>
      <c r="L25" s="120"/>
      <c r="M25" s="120"/>
      <c r="N25" s="120"/>
      <c r="O25" s="120"/>
      <c r="P25" s="120"/>
      <c r="Q25" s="120"/>
      <c r="R25" s="228"/>
    </row>
    <row r="26" spans="1:18" s="112" customFormat="1" x14ac:dyDescent="0.25">
      <c r="A26" s="119" t="s">
        <v>748</v>
      </c>
      <c r="B26" s="119" t="s">
        <v>38</v>
      </c>
      <c r="C26" s="118">
        <v>74</v>
      </c>
      <c r="D26" s="119" t="s">
        <v>568</v>
      </c>
      <c r="E26" s="119" t="s">
        <v>396</v>
      </c>
      <c r="F26" s="221" t="s">
        <v>296</v>
      </c>
      <c r="G26" s="182">
        <f t="shared" si="0"/>
        <v>127.19999999999997</v>
      </c>
      <c r="H26" s="120"/>
      <c r="I26" s="120"/>
      <c r="J26" s="226">
        <v>81.599999999999994</v>
      </c>
      <c r="K26" s="226">
        <v>7.5</v>
      </c>
      <c r="L26" s="226">
        <v>8.6999999999999993</v>
      </c>
      <c r="M26" s="226">
        <v>5.0999999999999996</v>
      </c>
      <c r="N26" s="226">
        <v>9.6</v>
      </c>
      <c r="O26" s="226">
        <v>3.6</v>
      </c>
      <c r="P26" s="226">
        <v>6</v>
      </c>
      <c r="Q26" s="226">
        <v>5.0999999999999996</v>
      </c>
      <c r="R26" s="225"/>
    </row>
    <row r="27" spans="1:18" s="112" customFormat="1" x14ac:dyDescent="0.25">
      <c r="A27" s="119" t="s">
        <v>748</v>
      </c>
      <c r="B27" s="119" t="s">
        <v>38</v>
      </c>
      <c r="C27" s="118">
        <v>75</v>
      </c>
      <c r="D27" s="119" t="s">
        <v>350</v>
      </c>
      <c r="E27" s="119" t="s">
        <v>396</v>
      </c>
      <c r="F27" s="221" t="s">
        <v>318</v>
      </c>
      <c r="G27" s="182">
        <f t="shared" si="0"/>
        <v>4</v>
      </c>
      <c r="H27" s="120"/>
      <c r="I27" s="120"/>
      <c r="J27" s="120">
        <v>4</v>
      </c>
      <c r="K27" s="120"/>
      <c r="L27" s="120"/>
      <c r="M27" s="120"/>
      <c r="N27" s="120"/>
      <c r="O27" s="120"/>
      <c r="P27" s="120"/>
      <c r="Q27" s="120"/>
    </row>
    <row r="28" spans="1:18" s="112" customFormat="1" x14ac:dyDescent="0.25">
      <c r="A28" s="119" t="s">
        <v>748</v>
      </c>
      <c r="B28" s="119" t="s">
        <v>38</v>
      </c>
      <c r="C28" s="118">
        <v>75</v>
      </c>
      <c r="D28" s="119" t="s">
        <v>350</v>
      </c>
      <c r="E28" s="119" t="s">
        <v>396</v>
      </c>
      <c r="F28" s="221" t="s">
        <v>586</v>
      </c>
      <c r="G28" s="182">
        <f t="shared" si="0"/>
        <v>4.5</v>
      </c>
      <c r="H28" s="120"/>
      <c r="I28" s="120"/>
      <c r="J28" s="120">
        <v>1</v>
      </c>
      <c r="K28" s="120">
        <v>0.5</v>
      </c>
      <c r="L28" s="120">
        <v>0.5</v>
      </c>
      <c r="M28" s="120">
        <v>0.5</v>
      </c>
      <c r="N28" s="120">
        <v>0.5</v>
      </c>
      <c r="O28" s="120">
        <v>0.5</v>
      </c>
      <c r="P28" s="120">
        <v>0.5</v>
      </c>
      <c r="Q28" s="120">
        <v>0.5</v>
      </c>
    </row>
    <row r="29" spans="1:18" s="112" customFormat="1" ht="31.5" x14ac:dyDescent="0.25">
      <c r="A29" s="119" t="s">
        <v>748</v>
      </c>
      <c r="B29" s="119" t="s">
        <v>38</v>
      </c>
      <c r="C29" s="118">
        <v>75</v>
      </c>
      <c r="D29" s="119" t="s">
        <v>350</v>
      </c>
      <c r="E29" s="119" t="s">
        <v>571</v>
      </c>
      <c r="F29" s="221" t="s">
        <v>316</v>
      </c>
      <c r="G29" s="182">
        <f t="shared" si="0"/>
        <v>5.0999999999999996</v>
      </c>
      <c r="H29" s="120"/>
      <c r="I29" s="120"/>
      <c r="J29" s="120">
        <v>3</v>
      </c>
      <c r="K29" s="120">
        <v>0.6</v>
      </c>
      <c r="L29" s="120"/>
      <c r="M29" s="120"/>
      <c r="N29" s="120">
        <v>1.5</v>
      </c>
      <c r="O29" s="120"/>
      <c r="P29" s="120"/>
      <c r="Q29" s="120"/>
    </row>
    <row r="30" spans="1:18" s="112" customFormat="1" ht="31.5" x14ac:dyDescent="0.25">
      <c r="A30" s="119" t="s">
        <v>748</v>
      </c>
      <c r="B30" s="119" t="s">
        <v>38</v>
      </c>
      <c r="C30" s="118">
        <v>75</v>
      </c>
      <c r="D30" s="119" t="s">
        <v>350</v>
      </c>
      <c r="E30" s="119" t="s">
        <v>571</v>
      </c>
      <c r="F30" s="221" t="s">
        <v>317</v>
      </c>
      <c r="G30" s="182">
        <f t="shared" si="0"/>
        <v>4.5</v>
      </c>
      <c r="H30" s="120"/>
      <c r="I30" s="120"/>
      <c r="J30" s="120">
        <v>4.5</v>
      </c>
      <c r="K30" s="120"/>
      <c r="L30" s="120"/>
      <c r="M30" s="120"/>
      <c r="N30" s="120"/>
      <c r="O30" s="120"/>
      <c r="P30" s="120"/>
      <c r="Q30" s="120"/>
    </row>
    <row r="31" spans="1:18" s="112" customFormat="1" ht="47.25" x14ac:dyDescent="0.25">
      <c r="A31" s="119" t="s">
        <v>748</v>
      </c>
      <c r="B31" s="119" t="s">
        <v>38</v>
      </c>
      <c r="C31" s="118">
        <v>76</v>
      </c>
      <c r="D31" s="119" t="s">
        <v>565</v>
      </c>
      <c r="E31" s="119" t="s">
        <v>566</v>
      </c>
      <c r="F31" s="221" t="s">
        <v>295</v>
      </c>
      <c r="G31" s="182">
        <f t="shared" si="0"/>
        <v>20</v>
      </c>
      <c r="H31" s="120"/>
      <c r="I31" s="120"/>
      <c r="J31" s="226">
        <v>8.5</v>
      </c>
      <c r="K31" s="226">
        <v>1.5</v>
      </c>
      <c r="L31" s="226">
        <v>1.5</v>
      </c>
      <c r="M31" s="226">
        <v>1.5</v>
      </c>
      <c r="N31" s="226">
        <v>2.5</v>
      </c>
      <c r="O31" s="227">
        <v>1.5</v>
      </c>
      <c r="P31" s="226">
        <v>1.5</v>
      </c>
      <c r="Q31" s="226">
        <v>1.5</v>
      </c>
    </row>
    <row r="32" spans="1:18" s="112" customFormat="1" ht="31.5" x14ac:dyDescent="0.25">
      <c r="A32" s="119" t="s">
        <v>748</v>
      </c>
      <c r="B32" s="119" t="s">
        <v>38</v>
      </c>
      <c r="C32" s="118">
        <v>76</v>
      </c>
      <c r="D32" s="119" t="s">
        <v>565</v>
      </c>
      <c r="E32" s="119" t="s">
        <v>567</v>
      </c>
      <c r="F32" s="221" t="s">
        <v>295</v>
      </c>
      <c r="G32" s="182">
        <f t="shared" si="0"/>
        <v>5</v>
      </c>
      <c r="H32" s="120">
        <v>5</v>
      </c>
      <c r="I32" s="120"/>
      <c r="J32" s="226"/>
      <c r="K32" s="226"/>
      <c r="L32" s="226"/>
      <c r="M32" s="226"/>
      <c r="N32" s="226"/>
      <c r="O32" s="227"/>
      <c r="P32" s="226"/>
      <c r="Q32" s="226"/>
    </row>
    <row r="33" spans="1:19" ht="31.5" x14ac:dyDescent="0.25">
      <c r="A33" s="119" t="s">
        <v>748</v>
      </c>
      <c r="B33" s="119" t="s">
        <v>38</v>
      </c>
      <c r="C33" s="118">
        <v>77</v>
      </c>
      <c r="D33" s="119" t="s">
        <v>570</v>
      </c>
      <c r="E33" s="119" t="s">
        <v>396</v>
      </c>
      <c r="F33" s="221" t="s">
        <v>298</v>
      </c>
      <c r="G33" s="182">
        <f t="shared" si="0"/>
        <v>9.5</v>
      </c>
      <c r="H33" s="120"/>
      <c r="I33" s="120"/>
      <c r="J33" s="120">
        <v>5</v>
      </c>
      <c r="K33" s="120">
        <v>0.5</v>
      </c>
      <c r="L33" s="120">
        <v>1</v>
      </c>
      <c r="M33" s="120">
        <v>0.5</v>
      </c>
      <c r="N33" s="120">
        <v>1</v>
      </c>
      <c r="O33" s="120">
        <v>0.5</v>
      </c>
      <c r="P33" s="120">
        <v>0.5</v>
      </c>
      <c r="Q33" s="120">
        <v>0.5</v>
      </c>
    </row>
    <row r="34" spans="1:19" ht="47.25" x14ac:dyDescent="0.25">
      <c r="A34" s="119" t="s">
        <v>748</v>
      </c>
      <c r="B34" s="119" t="s">
        <v>38</v>
      </c>
      <c r="C34" s="118">
        <v>77</v>
      </c>
      <c r="D34" s="119" t="s">
        <v>570</v>
      </c>
      <c r="E34" s="119" t="s">
        <v>566</v>
      </c>
      <c r="F34" s="221" t="s">
        <v>308</v>
      </c>
      <c r="G34" s="182">
        <f t="shared" si="0"/>
        <v>23</v>
      </c>
      <c r="H34" s="120">
        <v>0</v>
      </c>
      <c r="I34" s="120"/>
      <c r="J34" s="120">
        <v>5</v>
      </c>
      <c r="K34" s="120">
        <v>2.5</v>
      </c>
      <c r="L34" s="120">
        <v>2.5</v>
      </c>
      <c r="M34" s="120">
        <v>2.5</v>
      </c>
      <c r="N34" s="120">
        <v>3</v>
      </c>
      <c r="O34" s="120">
        <v>2.5</v>
      </c>
      <c r="P34" s="120">
        <v>2.5</v>
      </c>
      <c r="Q34" s="120">
        <v>2.5</v>
      </c>
    </row>
    <row r="35" spans="1:19" ht="31.5" x14ac:dyDescent="0.25">
      <c r="A35" s="119" t="s">
        <v>748</v>
      </c>
      <c r="B35" s="119" t="s">
        <v>38</v>
      </c>
      <c r="C35" s="118">
        <v>77</v>
      </c>
      <c r="D35" s="119" t="s">
        <v>570</v>
      </c>
      <c r="E35" s="119" t="s">
        <v>118</v>
      </c>
      <c r="F35" s="221" t="s">
        <v>584</v>
      </c>
      <c r="G35" s="182">
        <f t="shared" si="0"/>
        <v>10</v>
      </c>
      <c r="H35" s="120">
        <v>10</v>
      </c>
      <c r="I35" s="120"/>
      <c r="J35" s="120"/>
      <c r="K35" s="120"/>
      <c r="L35" s="120"/>
      <c r="M35" s="120"/>
      <c r="N35" s="120"/>
      <c r="O35" s="120"/>
      <c r="P35" s="120"/>
      <c r="Q35" s="120"/>
    </row>
    <row r="36" spans="1:19" ht="31.5" x14ac:dyDescent="0.25">
      <c r="A36" s="119" t="s">
        <v>748</v>
      </c>
      <c r="B36" s="119" t="s">
        <v>38</v>
      </c>
      <c r="C36" s="118">
        <v>77</v>
      </c>
      <c r="D36" s="119" t="s">
        <v>570</v>
      </c>
      <c r="E36" s="119" t="s">
        <v>578</v>
      </c>
      <c r="F36" s="221" t="s">
        <v>580</v>
      </c>
      <c r="G36" s="182">
        <f t="shared" si="0"/>
        <v>60</v>
      </c>
      <c r="H36" s="120">
        <v>50</v>
      </c>
      <c r="I36" s="120"/>
      <c r="J36" s="120">
        <v>10</v>
      </c>
      <c r="K36" s="120"/>
      <c r="L36" s="120"/>
      <c r="M36" s="120"/>
      <c r="N36" s="120"/>
      <c r="O36" s="120"/>
      <c r="P36" s="120"/>
      <c r="Q36" s="120"/>
    </row>
    <row r="37" spans="1:19" ht="31.5" x14ac:dyDescent="0.25">
      <c r="A37" s="119" t="s">
        <v>748</v>
      </c>
      <c r="B37" s="119" t="s">
        <v>38</v>
      </c>
      <c r="C37" s="118">
        <v>77</v>
      </c>
      <c r="D37" s="119" t="s">
        <v>570</v>
      </c>
      <c r="E37" s="119" t="s">
        <v>578</v>
      </c>
      <c r="F37" s="221" t="s">
        <v>581</v>
      </c>
      <c r="G37" s="182">
        <f t="shared" si="0"/>
        <v>26.75</v>
      </c>
      <c r="H37" s="120"/>
      <c r="I37" s="120"/>
      <c r="J37" s="120">
        <v>5</v>
      </c>
      <c r="K37" s="120">
        <v>3</v>
      </c>
      <c r="L37" s="120">
        <v>3</v>
      </c>
      <c r="M37" s="120">
        <v>3</v>
      </c>
      <c r="N37" s="120">
        <v>3.75</v>
      </c>
      <c r="O37" s="120">
        <v>3</v>
      </c>
      <c r="P37" s="120">
        <v>3</v>
      </c>
      <c r="Q37" s="120">
        <v>3</v>
      </c>
      <c r="S37" s="350"/>
    </row>
    <row r="38" spans="1:19" ht="31.5" x14ac:dyDescent="0.25">
      <c r="A38" s="119" t="s">
        <v>748</v>
      </c>
      <c r="B38" s="119" t="s">
        <v>38</v>
      </c>
      <c r="C38" s="118">
        <v>77</v>
      </c>
      <c r="D38" s="119" t="s">
        <v>570</v>
      </c>
      <c r="E38" s="119" t="s">
        <v>576</v>
      </c>
      <c r="F38" s="221" t="s">
        <v>577</v>
      </c>
      <c r="G38" s="182">
        <f t="shared" si="0"/>
        <v>0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S38" s="350"/>
    </row>
    <row r="39" spans="1:19" s="23" customFormat="1" ht="31.5" x14ac:dyDescent="0.25">
      <c r="A39" s="119" t="s">
        <v>748</v>
      </c>
      <c r="B39" s="119" t="s">
        <v>38</v>
      </c>
      <c r="C39" s="118">
        <v>78</v>
      </c>
      <c r="D39" s="119" t="s">
        <v>313</v>
      </c>
      <c r="E39" s="119" t="s">
        <v>312</v>
      </c>
      <c r="F39" s="221" t="s">
        <v>312</v>
      </c>
      <c r="G39" s="182">
        <f t="shared" si="0"/>
        <v>41.47999999999999</v>
      </c>
      <c r="H39" s="120">
        <v>16.2</v>
      </c>
      <c r="I39" s="120"/>
      <c r="J39" s="120">
        <v>3.16</v>
      </c>
      <c r="K39" s="120">
        <v>3.16</v>
      </c>
      <c r="L39" s="120">
        <v>3.16</v>
      </c>
      <c r="M39" s="120">
        <v>3.16</v>
      </c>
      <c r="N39" s="120">
        <v>3.16</v>
      </c>
      <c r="O39" s="120">
        <v>3.16</v>
      </c>
      <c r="P39" s="120">
        <v>3.16</v>
      </c>
      <c r="Q39" s="120">
        <v>3.16</v>
      </c>
      <c r="R39" s="112"/>
      <c r="S39" s="350"/>
    </row>
    <row r="40" spans="1:19" s="23" customFormat="1" ht="31.5" x14ac:dyDescent="0.25">
      <c r="A40" s="119" t="s">
        <v>748</v>
      </c>
      <c r="B40" s="119" t="s">
        <v>38</v>
      </c>
      <c r="C40" s="118">
        <v>78</v>
      </c>
      <c r="D40" s="119" t="s">
        <v>313</v>
      </c>
      <c r="E40" s="119" t="s">
        <v>424</v>
      </c>
      <c r="F40" s="221" t="s">
        <v>314</v>
      </c>
      <c r="G40" s="182">
        <f t="shared" si="0"/>
        <v>17.5</v>
      </c>
      <c r="H40" s="120">
        <v>17.5</v>
      </c>
      <c r="I40" s="120"/>
      <c r="J40" s="120"/>
      <c r="K40" s="120"/>
      <c r="L40" s="120"/>
      <c r="M40" s="120"/>
      <c r="N40" s="120"/>
      <c r="O40" s="120"/>
      <c r="P40" s="120"/>
      <c r="Q40" s="120"/>
      <c r="R40" s="112"/>
      <c r="S40" s="350"/>
    </row>
    <row r="41" spans="1:19" s="23" customFormat="1" ht="31.5" x14ac:dyDescent="0.25">
      <c r="A41" s="119" t="s">
        <v>748</v>
      </c>
      <c r="B41" s="119" t="s">
        <v>38</v>
      </c>
      <c r="C41" s="118">
        <v>78</v>
      </c>
      <c r="D41" s="119" t="s">
        <v>313</v>
      </c>
      <c r="E41" s="119" t="s">
        <v>908</v>
      </c>
      <c r="F41" s="221" t="s">
        <v>909</v>
      </c>
      <c r="G41" s="182">
        <f t="shared" si="0"/>
        <v>57.6</v>
      </c>
      <c r="H41" s="120">
        <v>57.6</v>
      </c>
      <c r="I41" s="120"/>
      <c r="J41" s="120"/>
      <c r="K41" s="120"/>
      <c r="L41" s="120"/>
      <c r="M41" s="120"/>
      <c r="N41" s="120"/>
      <c r="O41" s="120"/>
      <c r="P41" s="120"/>
      <c r="Q41" s="120"/>
      <c r="R41" s="33"/>
      <c r="S41" s="350"/>
    </row>
    <row r="42" spans="1:19" s="23" customFormat="1" x14ac:dyDescent="0.25">
      <c r="A42" s="119" t="s">
        <v>748</v>
      </c>
      <c r="B42" s="119" t="s">
        <v>38</v>
      </c>
      <c r="C42" s="118">
        <v>79</v>
      </c>
      <c r="D42" s="119" t="s">
        <v>585</v>
      </c>
      <c r="E42" s="119" t="s">
        <v>396</v>
      </c>
      <c r="F42" s="221" t="s">
        <v>307</v>
      </c>
      <c r="G42" s="182">
        <f t="shared" si="0"/>
        <v>26.254999999999999</v>
      </c>
      <c r="H42" s="120"/>
      <c r="I42" s="120"/>
      <c r="J42" s="120">
        <v>17.25</v>
      </c>
      <c r="K42" s="120">
        <v>1.58</v>
      </c>
      <c r="L42" s="120">
        <v>1.875</v>
      </c>
      <c r="M42" s="120">
        <v>0.97499999999999998</v>
      </c>
      <c r="N42" s="120">
        <v>1.875</v>
      </c>
      <c r="O42" s="120">
        <v>0.6</v>
      </c>
      <c r="P42" s="120">
        <v>1.2</v>
      </c>
      <c r="Q42" s="120">
        <v>0.9</v>
      </c>
      <c r="R42" s="33"/>
      <c r="S42" s="350"/>
    </row>
    <row r="43" spans="1:19" ht="30" x14ac:dyDescent="0.3">
      <c r="A43" s="1" t="s">
        <v>968</v>
      </c>
      <c r="B43" s="1" t="s">
        <v>724</v>
      </c>
      <c r="C43" s="15">
        <v>194</v>
      </c>
      <c r="D43" s="1" t="s">
        <v>969</v>
      </c>
      <c r="E43" s="1" t="s">
        <v>564</v>
      </c>
      <c r="F43" s="10" t="s">
        <v>319</v>
      </c>
      <c r="G43" s="3">
        <f t="shared" si="0"/>
        <v>0</v>
      </c>
      <c r="H43" s="244"/>
      <c r="I43" s="10"/>
      <c r="J43" s="242"/>
      <c r="K43" s="242"/>
      <c r="L43" s="242"/>
      <c r="M43" s="242"/>
      <c r="N43" s="242"/>
      <c r="O43" s="243"/>
      <c r="P43" s="242"/>
      <c r="Q43" s="242"/>
      <c r="S43" s="350"/>
    </row>
    <row r="44" spans="1:19" ht="30" x14ac:dyDescent="0.3">
      <c r="A44" s="1" t="s">
        <v>970</v>
      </c>
      <c r="B44" s="1" t="s">
        <v>724</v>
      </c>
      <c r="C44" s="15">
        <v>194</v>
      </c>
      <c r="D44" s="1" t="s">
        <v>969</v>
      </c>
      <c r="E44" s="1" t="s">
        <v>571</v>
      </c>
      <c r="F44" s="10" t="s">
        <v>321</v>
      </c>
      <c r="G44" s="3">
        <f t="shared" si="0"/>
        <v>0</v>
      </c>
      <c r="H44" s="180"/>
      <c r="I44" s="10"/>
      <c r="J44" s="242"/>
      <c r="K44" s="242"/>
      <c r="L44" s="242"/>
      <c r="M44" s="242"/>
      <c r="N44" s="242"/>
      <c r="O44" s="243"/>
      <c r="P44" s="242"/>
      <c r="Q44" s="242"/>
      <c r="S44" s="350"/>
    </row>
    <row r="45" spans="1:19" ht="30" x14ac:dyDescent="0.25">
      <c r="A45" s="1" t="s">
        <v>970</v>
      </c>
      <c r="B45" s="1" t="s">
        <v>724</v>
      </c>
      <c r="C45" s="15">
        <v>194</v>
      </c>
      <c r="D45" s="1" t="s">
        <v>969</v>
      </c>
      <c r="E45" s="1" t="s">
        <v>571</v>
      </c>
      <c r="F45" s="10" t="s">
        <v>907</v>
      </c>
      <c r="G45" s="3">
        <f t="shared" si="0"/>
        <v>0</v>
      </c>
      <c r="H45" s="244"/>
      <c r="I45" s="10"/>
      <c r="J45" s="244"/>
      <c r="K45" s="244"/>
      <c r="L45" s="244"/>
      <c r="M45" s="244"/>
      <c r="N45" s="244"/>
      <c r="O45" s="244"/>
      <c r="P45" s="244"/>
      <c r="Q45" s="244"/>
      <c r="S45" s="121"/>
    </row>
    <row r="46" spans="1:19" ht="30" x14ac:dyDescent="0.25">
      <c r="A46" s="1" t="s">
        <v>970</v>
      </c>
      <c r="B46" s="1" t="s">
        <v>724</v>
      </c>
      <c r="C46" s="15">
        <v>194</v>
      </c>
      <c r="D46" s="1" t="s">
        <v>969</v>
      </c>
      <c r="E46" s="1" t="s">
        <v>571</v>
      </c>
      <c r="F46" s="10" t="s">
        <v>320</v>
      </c>
      <c r="G46" s="3">
        <f t="shared" si="0"/>
        <v>0</v>
      </c>
      <c r="H46" s="244"/>
      <c r="I46" s="10"/>
      <c r="J46" s="244"/>
      <c r="K46" s="244"/>
      <c r="L46" s="244"/>
      <c r="M46" s="244"/>
      <c r="N46" s="244"/>
      <c r="O46" s="244"/>
      <c r="P46" s="244"/>
      <c r="Q46" s="244"/>
      <c r="S46" s="121"/>
    </row>
    <row r="47" spans="1:19" s="224" customFormat="1" ht="26.25" customHeight="1" x14ac:dyDescent="0.25">
      <c r="A47" s="115"/>
      <c r="B47" s="115"/>
      <c r="C47" s="114"/>
      <c r="D47" s="115"/>
      <c r="E47" s="115"/>
      <c r="F47" s="223" t="s">
        <v>322</v>
      </c>
      <c r="G47" s="116">
        <f t="shared" ref="G47:Q47" si="1">SUM(G4:G46)</f>
        <v>761.23500000000013</v>
      </c>
      <c r="H47" s="116">
        <f t="shared" si="1"/>
        <v>268.45</v>
      </c>
      <c r="I47" s="116">
        <f t="shared" si="1"/>
        <v>0</v>
      </c>
      <c r="J47" s="116">
        <f t="shared" si="1"/>
        <v>193.35999999999999</v>
      </c>
      <c r="K47" s="116">
        <f t="shared" si="1"/>
        <v>43.489999999999995</v>
      </c>
      <c r="L47" s="116">
        <f t="shared" si="1"/>
        <v>44.884999999999991</v>
      </c>
      <c r="M47" s="116">
        <f t="shared" si="1"/>
        <v>39.384999999999998</v>
      </c>
      <c r="N47" s="116">
        <f t="shared" si="1"/>
        <v>55.034999999999997</v>
      </c>
      <c r="O47" s="116">
        <f t="shared" si="1"/>
        <v>37.01</v>
      </c>
      <c r="P47" s="116">
        <f t="shared" si="1"/>
        <v>40.709999999999994</v>
      </c>
      <c r="Q47" s="116">
        <f t="shared" si="1"/>
        <v>38.910000000000004</v>
      </c>
      <c r="R47" s="222"/>
      <c r="S47" s="222"/>
    </row>
    <row r="48" spans="1:19" s="123" customFormat="1" x14ac:dyDescent="0.25">
      <c r="A48" s="124"/>
      <c r="B48" s="124"/>
      <c r="D48" s="124"/>
      <c r="E48" s="124"/>
      <c r="F48" s="113"/>
      <c r="G48" s="117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</row>
  </sheetData>
  <autoFilter ref="A3:Q47" xr:uid="{00000000-0009-0000-0000-000000000000}">
    <sortState xmlns:xlrd2="http://schemas.microsoft.com/office/spreadsheetml/2017/richdata2" ref="A4:Q47">
      <sortCondition ref="C3:C47"/>
    </sortState>
  </autoFilter>
  <mergeCells count="2">
    <mergeCell ref="A1:G1"/>
    <mergeCell ref="S37:S44"/>
  </mergeCells>
  <pageMargins left="0.7" right="0.7" top="0.75" bottom="0.75" header="0.3" footer="0.3"/>
  <pageSetup paperSize="5" scale="53" fitToHeight="9" orientation="landscape" horizont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044C-77A8-4AAE-9C87-8D9C991126F9}">
  <sheetPr>
    <tabColor rgb="FFFF0000"/>
    <pageSetUpPr fitToPage="1"/>
  </sheetPr>
  <dimension ref="A1:S18"/>
  <sheetViews>
    <sheetView view="pageBreakPreview" zoomScale="85" zoomScaleSheetLayoutView="85" workbookViewId="0">
      <pane ySplit="2" topLeftCell="A9" activePane="bottomLeft" state="frozen"/>
      <selection pane="bottomLeft" activeCell="L10" sqref="L10:L11"/>
    </sheetView>
  </sheetViews>
  <sheetFormatPr defaultColWidth="9.140625" defaultRowHeight="15" x14ac:dyDescent="0.25"/>
  <cols>
    <col min="1" max="1" width="7.42578125" style="28" customWidth="1"/>
    <col min="2" max="2" width="24" style="28" customWidth="1"/>
    <col min="3" max="3" width="7.42578125" style="28" customWidth="1"/>
    <col min="4" max="4" width="20.140625" style="28" customWidth="1"/>
    <col min="5" max="5" width="27.140625" style="28" bestFit="1" customWidth="1"/>
    <col min="6" max="6" width="63.85546875" style="23" bestFit="1" customWidth="1"/>
    <col min="7" max="7" width="11.28515625" style="26" customWidth="1"/>
    <col min="8" max="17" width="10.7109375" style="33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6" t="s">
        <v>864</v>
      </c>
      <c r="B1" s="346"/>
      <c r="C1" s="346"/>
      <c r="D1" s="346"/>
      <c r="E1" s="346"/>
      <c r="F1" s="346"/>
      <c r="G1" s="347"/>
      <c r="H1" s="14"/>
      <c r="I1" s="14"/>
      <c r="J1" s="14"/>
      <c r="K1" s="14"/>
      <c r="L1" s="14"/>
      <c r="M1" s="14"/>
      <c r="N1" s="14"/>
      <c r="O1" s="14"/>
      <c r="P1" s="14"/>
      <c r="Q1" s="14"/>
      <c r="R1" s="21"/>
    </row>
    <row r="2" spans="1:19" s="21" customFormat="1" ht="55.5" customHeight="1" x14ac:dyDescent="0.25">
      <c r="A2" s="14" t="s">
        <v>705</v>
      </c>
      <c r="B2" s="14" t="s">
        <v>18</v>
      </c>
      <c r="C2" s="14" t="s">
        <v>17</v>
      </c>
      <c r="D2" s="21" t="s">
        <v>486</v>
      </c>
      <c r="E2" s="14" t="s">
        <v>506</v>
      </c>
      <c r="F2" s="14" t="s">
        <v>988</v>
      </c>
      <c r="G2" s="29" t="s">
        <v>836</v>
      </c>
      <c r="H2" s="29" t="s">
        <v>3</v>
      </c>
      <c r="I2" s="29" t="s">
        <v>4</v>
      </c>
      <c r="J2" s="29" t="s">
        <v>5</v>
      </c>
      <c r="K2" s="29" t="s">
        <v>6</v>
      </c>
      <c r="L2" s="29" t="s">
        <v>7</v>
      </c>
      <c r="M2" s="29" t="s">
        <v>8</v>
      </c>
      <c r="N2" s="29" t="s">
        <v>9</v>
      </c>
      <c r="O2" s="29" t="s">
        <v>10</v>
      </c>
      <c r="P2" s="29" t="s">
        <v>11</v>
      </c>
      <c r="Q2" s="29" t="s">
        <v>12</v>
      </c>
      <c r="R2" s="26"/>
      <c r="S2" s="26"/>
    </row>
    <row r="3" spans="1:19" s="21" customFormat="1" x14ac:dyDescent="0.25">
      <c r="A3" s="14"/>
      <c r="B3" s="14"/>
      <c r="C3" s="14"/>
      <c r="D3" s="14"/>
      <c r="E3" s="14"/>
      <c r="F3" s="1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6"/>
      <c r="S3" s="26"/>
    </row>
    <row r="4" spans="1:19" ht="45" x14ac:dyDescent="0.25">
      <c r="A4" s="11" t="s">
        <v>739</v>
      </c>
      <c r="B4" s="11" t="s">
        <v>769</v>
      </c>
      <c r="C4" s="7">
        <v>80</v>
      </c>
      <c r="D4" s="11" t="s">
        <v>522</v>
      </c>
      <c r="E4" s="11" t="s">
        <v>24</v>
      </c>
      <c r="F4" s="290" t="s">
        <v>1000</v>
      </c>
      <c r="G4" s="231">
        <f t="shared" ref="G4:G17" si="0">SUM(H4:Q4)</f>
        <v>13.6</v>
      </c>
      <c r="H4" s="29">
        <v>13.6</v>
      </c>
      <c r="I4" s="3"/>
      <c r="J4" s="3"/>
      <c r="K4" s="3"/>
      <c r="L4" s="3"/>
      <c r="M4" s="3"/>
      <c r="N4" s="3"/>
      <c r="O4" s="3"/>
      <c r="P4" s="3"/>
      <c r="Q4" s="3"/>
    </row>
    <row r="5" spans="1:19" ht="45" x14ac:dyDescent="0.25">
      <c r="A5" s="11" t="s">
        <v>739</v>
      </c>
      <c r="B5" s="11" t="s">
        <v>769</v>
      </c>
      <c r="C5" s="7">
        <v>81</v>
      </c>
      <c r="D5" s="11" t="s">
        <v>749</v>
      </c>
      <c r="E5" s="11" t="s">
        <v>523</v>
      </c>
      <c r="F5" s="55" t="s">
        <v>996</v>
      </c>
      <c r="G5" s="231">
        <f t="shared" si="0"/>
        <v>0.1</v>
      </c>
      <c r="H5" s="3">
        <v>0.1</v>
      </c>
      <c r="I5" s="3"/>
      <c r="J5" s="3"/>
      <c r="K5" s="3"/>
      <c r="L5" s="3"/>
      <c r="M5" s="3"/>
      <c r="N5" s="3"/>
      <c r="O5" s="3"/>
      <c r="P5" s="3"/>
      <c r="Q5" s="3"/>
    </row>
    <row r="6" spans="1:19" ht="45" x14ac:dyDescent="0.25">
      <c r="A6" s="11" t="s">
        <v>739</v>
      </c>
      <c r="B6" s="11" t="s">
        <v>769</v>
      </c>
      <c r="C6" s="7">
        <v>81</v>
      </c>
      <c r="D6" s="11" t="s">
        <v>749</v>
      </c>
      <c r="E6" s="11" t="s">
        <v>524</v>
      </c>
      <c r="F6" s="55" t="s">
        <v>261</v>
      </c>
      <c r="G6" s="231">
        <f t="shared" si="0"/>
        <v>64.260000000000005</v>
      </c>
      <c r="H6" s="29">
        <v>64.260000000000005</v>
      </c>
      <c r="I6" s="3"/>
      <c r="J6" s="3"/>
      <c r="K6" s="3"/>
      <c r="L6" s="3"/>
      <c r="M6" s="3"/>
      <c r="N6" s="3"/>
      <c r="O6" s="3"/>
      <c r="P6" s="3"/>
      <c r="Q6" s="3"/>
    </row>
    <row r="7" spans="1:19" ht="45" x14ac:dyDescent="0.25">
      <c r="A7" s="11" t="s">
        <v>739</v>
      </c>
      <c r="B7" s="11" t="s">
        <v>769</v>
      </c>
      <c r="C7" s="7">
        <v>81</v>
      </c>
      <c r="D7" s="11" t="s">
        <v>749</v>
      </c>
      <c r="E7" s="11" t="s">
        <v>525</v>
      </c>
      <c r="F7" s="55" t="s">
        <v>134</v>
      </c>
      <c r="G7" s="231">
        <f t="shared" si="0"/>
        <v>3.41</v>
      </c>
      <c r="H7" s="29">
        <v>3.41</v>
      </c>
      <c r="I7" s="3"/>
      <c r="J7" s="3"/>
      <c r="K7" s="3"/>
      <c r="L7" s="3"/>
      <c r="M7" s="3"/>
      <c r="N7" s="3"/>
      <c r="O7" s="3"/>
      <c r="P7" s="3"/>
      <c r="Q7" s="3"/>
    </row>
    <row r="8" spans="1:19" ht="45" x14ac:dyDescent="0.25">
      <c r="A8" s="11" t="s">
        <v>739</v>
      </c>
      <c r="B8" s="11" t="s">
        <v>769</v>
      </c>
      <c r="C8" s="7">
        <v>81</v>
      </c>
      <c r="D8" s="11" t="s">
        <v>749</v>
      </c>
      <c r="E8" s="11" t="s">
        <v>525</v>
      </c>
      <c r="F8" s="60" t="s">
        <v>133</v>
      </c>
      <c r="G8" s="231">
        <f t="shared" si="0"/>
        <v>0.89999999999999991</v>
      </c>
      <c r="H8" s="3">
        <v>0.1</v>
      </c>
      <c r="I8" s="3">
        <v>0</v>
      </c>
      <c r="J8" s="3">
        <v>0.1</v>
      </c>
      <c r="K8" s="3">
        <v>0.1</v>
      </c>
      <c r="L8" s="3">
        <v>0.1</v>
      </c>
      <c r="M8" s="3">
        <v>0.1</v>
      </c>
      <c r="N8" s="3">
        <v>0.1</v>
      </c>
      <c r="O8" s="3">
        <v>0.1</v>
      </c>
      <c r="P8" s="3">
        <v>0.1</v>
      </c>
      <c r="Q8" s="3">
        <v>0.1</v>
      </c>
    </row>
    <row r="9" spans="1:19" ht="45" x14ac:dyDescent="0.25">
      <c r="A9" s="11" t="s">
        <v>739</v>
      </c>
      <c r="B9" s="11" t="s">
        <v>769</v>
      </c>
      <c r="C9" s="7">
        <v>81</v>
      </c>
      <c r="D9" s="11" t="s">
        <v>749</v>
      </c>
      <c r="E9" s="11" t="s">
        <v>514</v>
      </c>
      <c r="F9" s="60" t="s">
        <v>132</v>
      </c>
      <c r="G9" s="231">
        <f t="shared" si="0"/>
        <v>0</v>
      </c>
      <c r="H9" s="29">
        <v>0</v>
      </c>
      <c r="I9" s="3"/>
      <c r="J9" s="3"/>
      <c r="K9" s="3"/>
      <c r="L9" s="3"/>
      <c r="M9" s="3"/>
      <c r="N9" s="3"/>
      <c r="O9" s="3"/>
      <c r="P9" s="3"/>
      <c r="Q9" s="3"/>
    </row>
    <row r="10" spans="1:19" ht="45" x14ac:dyDescent="0.25">
      <c r="A10" s="11" t="s">
        <v>742</v>
      </c>
      <c r="B10" s="11" t="s">
        <v>769</v>
      </c>
      <c r="C10" s="7">
        <v>82</v>
      </c>
      <c r="D10" s="11" t="s">
        <v>749</v>
      </c>
      <c r="E10" s="11" t="s">
        <v>514</v>
      </c>
      <c r="F10" s="60" t="s">
        <v>997</v>
      </c>
      <c r="G10" s="231">
        <f t="shared" si="0"/>
        <v>2.4900000000000002</v>
      </c>
      <c r="H10" s="29">
        <v>2.4900000000000002</v>
      </c>
      <c r="I10" s="3"/>
      <c r="J10" s="3"/>
      <c r="K10" s="3"/>
      <c r="L10" s="3"/>
      <c r="M10" s="3"/>
      <c r="N10" s="3"/>
      <c r="O10" s="3"/>
      <c r="P10" s="3"/>
      <c r="Q10" s="3"/>
    </row>
    <row r="11" spans="1:19" ht="45" x14ac:dyDescent="0.25">
      <c r="A11" s="11" t="s">
        <v>739</v>
      </c>
      <c r="B11" s="11" t="s">
        <v>769</v>
      </c>
      <c r="C11" s="7">
        <v>82</v>
      </c>
      <c r="D11" s="11" t="s">
        <v>750</v>
      </c>
      <c r="E11" s="11" t="s">
        <v>521</v>
      </c>
      <c r="F11" s="55" t="s">
        <v>698</v>
      </c>
      <c r="G11" s="231">
        <f t="shared" si="0"/>
        <v>0.35</v>
      </c>
      <c r="H11" s="29">
        <v>0.35</v>
      </c>
      <c r="I11" s="3"/>
      <c r="J11" s="3"/>
      <c r="K11" s="3"/>
      <c r="L11" s="3"/>
      <c r="M11" s="3"/>
      <c r="N11" s="3"/>
      <c r="O11" s="3"/>
      <c r="P11" s="3"/>
      <c r="Q11" s="3"/>
    </row>
    <row r="12" spans="1:19" ht="45" x14ac:dyDescent="0.25">
      <c r="A12" s="11" t="s">
        <v>739</v>
      </c>
      <c r="B12" s="11" t="s">
        <v>769</v>
      </c>
      <c r="C12" s="7">
        <v>83</v>
      </c>
      <c r="D12" s="11" t="s">
        <v>520</v>
      </c>
      <c r="E12" s="11" t="s">
        <v>396</v>
      </c>
      <c r="F12" s="55" t="s">
        <v>131</v>
      </c>
      <c r="G12" s="231">
        <f t="shared" si="0"/>
        <v>10.8</v>
      </c>
      <c r="H12" s="29">
        <v>10.8</v>
      </c>
      <c r="I12" s="3"/>
      <c r="J12" s="3"/>
      <c r="K12" s="3"/>
      <c r="L12" s="3"/>
      <c r="M12" s="3"/>
      <c r="N12" s="3"/>
      <c r="O12" s="3"/>
      <c r="P12" s="3"/>
      <c r="Q12" s="3"/>
    </row>
    <row r="13" spans="1:19" ht="45" x14ac:dyDescent="0.25">
      <c r="A13" s="11" t="s">
        <v>739</v>
      </c>
      <c r="B13" s="11" t="s">
        <v>769</v>
      </c>
      <c r="C13" s="7">
        <v>83</v>
      </c>
      <c r="D13" s="11" t="s">
        <v>520</v>
      </c>
      <c r="E13" s="11" t="s">
        <v>523</v>
      </c>
      <c r="F13" s="55" t="s">
        <v>260</v>
      </c>
      <c r="G13" s="231">
        <f t="shared" si="0"/>
        <v>191.9</v>
      </c>
      <c r="H13" s="29">
        <v>191.9</v>
      </c>
      <c r="I13" s="3"/>
      <c r="J13" s="3"/>
      <c r="K13" s="3"/>
      <c r="L13" s="3"/>
      <c r="M13" s="3"/>
      <c r="N13" s="3"/>
      <c r="O13" s="3"/>
      <c r="P13" s="3"/>
      <c r="Q13" s="3"/>
    </row>
    <row r="14" spans="1:19" ht="45" x14ac:dyDescent="0.25">
      <c r="A14" s="11" t="s">
        <v>739</v>
      </c>
      <c r="B14" s="11" t="s">
        <v>769</v>
      </c>
      <c r="C14" s="7">
        <v>83</v>
      </c>
      <c r="D14" s="11" t="s">
        <v>520</v>
      </c>
      <c r="E14" s="11" t="s">
        <v>524</v>
      </c>
      <c r="F14" s="55" t="s">
        <v>260</v>
      </c>
      <c r="G14" s="231">
        <f t="shared" si="0"/>
        <v>4.9000000000000004</v>
      </c>
      <c r="H14" s="29">
        <v>4.9000000000000004</v>
      </c>
      <c r="I14" s="3"/>
      <c r="J14" s="3"/>
      <c r="K14" s="3"/>
      <c r="L14" s="3"/>
      <c r="M14" s="3"/>
      <c r="N14" s="3"/>
      <c r="O14" s="3"/>
      <c r="P14" s="3"/>
      <c r="Q14" s="3"/>
    </row>
    <row r="15" spans="1:19" ht="45" x14ac:dyDescent="0.25">
      <c r="A15" s="11" t="s">
        <v>739</v>
      </c>
      <c r="B15" s="11" t="s">
        <v>769</v>
      </c>
      <c r="C15" s="7">
        <v>83</v>
      </c>
      <c r="D15" s="11" t="s">
        <v>520</v>
      </c>
      <c r="E15" s="11" t="s">
        <v>518</v>
      </c>
      <c r="F15" s="55" t="s">
        <v>262</v>
      </c>
      <c r="G15" s="231">
        <f t="shared" si="0"/>
        <v>1.86</v>
      </c>
      <c r="H15" s="29">
        <v>1.86</v>
      </c>
      <c r="I15" s="3"/>
      <c r="J15" s="3"/>
      <c r="K15" s="3"/>
      <c r="L15" s="3"/>
      <c r="M15" s="3"/>
      <c r="N15" s="3"/>
      <c r="O15" s="3"/>
      <c r="P15" s="3"/>
      <c r="Q15" s="3"/>
    </row>
    <row r="16" spans="1:19" ht="45" x14ac:dyDescent="0.25">
      <c r="A16" s="11" t="s">
        <v>739</v>
      </c>
      <c r="B16" s="11" t="s">
        <v>769</v>
      </c>
      <c r="C16" s="7">
        <v>83</v>
      </c>
      <c r="D16" s="11" t="s">
        <v>520</v>
      </c>
      <c r="E16" s="11" t="s">
        <v>512</v>
      </c>
      <c r="F16" s="10" t="s">
        <v>998</v>
      </c>
      <c r="G16" s="231">
        <f t="shared" si="0"/>
        <v>0.25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</row>
    <row r="17" spans="1:19" ht="45" x14ac:dyDescent="0.25">
      <c r="A17" s="11" t="s">
        <v>739</v>
      </c>
      <c r="B17" s="11" t="s">
        <v>769</v>
      </c>
      <c r="C17" s="7">
        <v>83</v>
      </c>
      <c r="D17" s="11" t="s">
        <v>520</v>
      </c>
      <c r="E17" s="11" t="s">
        <v>512</v>
      </c>
      <c r="F17" s="10" t="s">
        <v>999</v>
      </c>
      <c r="G17" s="231">
        <f t="shared" si="0"/>
        <v>0.1</v>
      </c>
      <c r="H17" s="3">
        <v>0.1</v>
      </c>
      <c r="I17" s="3"/>
      <c r="J17" s="3"/>
      <c r="K17" s="3"/>
      <c r="L17" s="3"/>
      <c r="M17" s="3"/>
      <c r="N17" s="3"/>
      <c r="O17" s="3"/>
      <c r="P17" s="3"/>
      <c r="Q17" s="3"/>
    </row>
    <row r="18" spans="1:19" s="32" customFormat="1" ht="31.5" customHeight="1" x14ac:dyDescent="0.25">
      <c r="A18" s="31"/>
      <c r="B18" s="31"/>
      <c r="C18" s="31"/>
      <c r="D18" s="31"/>
      <c r="E18" s="31"/>
      <c r="F18" s="14" t="s">
        <v>20</v>
      </c>
      <c r="G18" s="29">
        <f>SUM(G4:G17)</f>
        <v>294.92</v>
      </c>
      <c r="H18" s="29">
        <f t="shared" ref="H18:Q18" si="1">SUM(H4:H15)</f>
        <v>293.77</v>
      </c>
      <c r="I18" s="29">
        <f t="shared" si="1"/>
        <v>0</v>
      </c>
      <c r="J18" s="29">
        <f t="shared" si="1"/>
        <v>0.1</v>
      </c>
      <c r="K18" s="29">
        <f t="shared" si="1"/>
        <v>0.1</v>
      </c>
      <c r="L18" s="29">
        <f t="shared" si="1"/>
        <v>0.1</v>
      </c>
      <c r="M18" s="29">
        <f t="shared" si="1"/>
        <v>0.1</v>
      </c>
      <c r="N18" s="29">
        <f t="shared" si="1"/>
        <v>0.1</v>
      </c>
      <c r="O18" s="29">
        <f t="shared" si="1"/>
        <v>0.1</v>
      </c>
      <c r="P18" s="29">
        <f t="shared" si="1"/>
        <v>0.1</v>
      </c>
      <c r="Q18" s="29">
        <f t="shared" si="1"/>
        <v>0.1</v>
      </c>
      <c r="R18" s="22"/>
      <c r="S18" s="12"/>
    </row>
  </sheetData>
  <autoFilter ref="A3:Q18" xr:uid="{D93E044C-77A8-4AAE-9C87-8D9C991126F9}">
    <sortState xmlns:xlrd2="http://schemas.microsoft.com/office/spreadsheetml/2017/richdata2" ref="A4:Q18">
      <sortCondition ref="D3:D18"/>
    </sortState>
  </autoFilter>
  <mergeCells count="1">
    <mergeCell ref="A1:G1"/>
  </mergeCells>
  <phoneticPr fontId="15" type="noConversion"/>
  <pageMargins left="0.7" right="0.7" top="0.75" bottom="0.75" header="0.3" footer="0.3"/>
  <pageSetup paperSize="5" scale="59" fitToHeight="3" orientation="landscape" horizontalDpi="4294967292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D119-9C3E-4505-B0FB-B322F0634DA6}">
  <sheetPr>
    <tabColor rgb="FFFF0000"/>
    <pageSetUpPr fitToPage="1"/>
  </sheetPr>
  <dimension ref="A1:R9"/>
  <sheetViews>
    <sheetView view="pageBreakPreview" zoomScaleNormal="100" zoomScaleSheetLayoutView="100" workbookViewId="0">
      <pane xSplit="6" ySplit="2" topLeftCell="G3" activePane="bottomRight" state="frozen"/>
      <selection pane="topRight"/>
      <selection pane="bottomLeft"/>
      <selection pane="bottomRight" activeCell="F16" sqref="F16"/>
    </sheetView>
  </sheetViews>
  <sheetFormatPr defaultColWidth="9.140625" defaultRowHeight="15" x14ac:dyDescent="0.25"/>
  <cols>
    <col min="1" max="1" width="10.140625" style="27" customWidth="1"/>
    <col min="2" max="2" width="24.42578125" style="27" customWidth="1"/>
    <col min="3" max="3" width="9" style="27" customWidth="1"/>
    <col min="4" max="4" width="25" style="28" customWidth="1"/>
    <col min="5" max="5" width="23.710937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9.140625" style="22"/>
    <col min="19" max="16384" width="9.140625" style="23"/>
  </cols>
  <sheetData>
    <row r="1" spans="1:18" ht="24" customHeight="1" x14ac:dyDescent="0.25">
      <c r="A1" s="339" t="s">
        <v>865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21" customFormat="1" ht="55.5" customHeight="1" x14ac:dyDescent="0.25">
      <c r="A2" s="50" t="s">
        <v>705</v>
      </c>
      <c r="B2" s="50" t="s">
        <v>18</v>
      </c>
      <c r="C2" s="50" t="s">
        <v>17</v>
      </c>
      <c r="D2" s="50" t="s">
        <v>486</v>
      </c>
      <c r="E2" s="50" t="s">
        <v>487</v>
      </c>
      <c r="F2" s="50" t="s">
        <v>988</v>
      </c>
      <c r="G2" s="51" t="s">
        <v>836</v>
      </c>
      <c r="H2" s="51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2" t="s">
        <v>12</v>
      </c>
      <c r="R2" s="26"/>
    </row>
    <row r="3" spans="1:18" ht="30" x14ac:dyDescent="0.25">
      <c r="A3" s="7" t="s">
        <v>742</v>
      </c>
      <c r="B3" s="7" t="s">
        <v>770</v>
      </c>
      <c r="C3" s="68">
        <v>84</v>
      </c>
      <c r="D3" s="16" t="s">
        <v>542</v>
      </c>
      <c r="E3" s="59" t="s">
        <v>407</v>
      </c>
      <c r="F3" s="11" t="s">
        <v>257</v>
      </c>
      <c r="G3" s="234">
        <f>SUM(H3:Q3)</f>
        <v>20.41</v>
      </c>
      <c r="H3" s="7">
        <v>20.41</v>
      </c>
      <c r="I3" s="58"/>
      <c r="J3" s="58"/>
      <c r="K3" s="58"/>
      <c r="L3" s="58"/>
      <c r="M3" s="58"/>
      <c r="N3" s="58"/>
      <c r="O3" s="58"/>
      <c r="P3" s="58"/>
      <c r="Q3" s="58"/>
    </row>
    <row r="4" spans="1:18" ht="30" x14ac:dyDescent="0.25">
      <c r="A4" s="7" t="s">
        <v>742</v>
      </c>
      <c r="B4" s="7" t="s">
        <v>770</v>
      </c>
      <c r="C4" s="68">
        <v>84</v>
      </c>
      <c r="D4" s="16" t="s">
        <v>542</v>
      </c>
      <c r="E4" s="59" t="s">
        <v>439</v>
      </c>
      <c r="F4" s="10" t="s">
        <v>252</v>
      </c>
      <c r="G4" s="234">
        <f t="shared" ref="G4:G5" si="0">SUM(H4:Q4)</f>
        <v>1.62</v>
      </c>
      <c r="H4" s="7">
        <v>1.62</v>
      </c>
      <c r="I4" s="58"/>
      <c r="J4" s="58"/>
      <c r="K4" s="58"/>
      <c r="L4" s="58"/>
      <c r="M4" s="58"/>
      <c r="N4" s="58"/>
      <c r="O4" s="58"/>
      <c r="P4" s="58"/>
      <c r="Q4" s="58"/>
    </row>
    <row r="5" spans="1:18" ht="30" x14ac:dyDescent="0.25">
      <c r="A5" s="7" t="s">
        <v>742</v>
      </c>
      <c r="B5" s="7" t="s">
        <v>770</v>
      </c>
      <c r="C5" s="68">
        <v>84</v>
      </c>
      <c r="D5" s="16" t="s">
        <v>542</v>
      </c>
      <c r="E5" s="16" t="s">
        <v>424</v>
      </c>
      <c r="F5" s="34" t="s">
        <v>258</v>
      </c>
      <c r="G5" s="234">
        <f t="shared" si="0"/>
        <v>1.06</v>
      </c>
      <c r="H5" s="7">
        <v>1.06</v>
      </c>
      <c r="I5" s="58"/>
      <c r="J5" s="58"/>
      <c r="K5" s="58"/>
      <c r="L5" s="58"/>
      <c r="M5" s="58"/>
      <c r="N5" s="58"/>
      <c r="O5" s="58"/>
      <c r="P5" s="58"/>
      <c r="Q5" s="58"/>
    </row>
    <row r="6" spans="1:18" s="22" customFormat="1" ht="24" customHeight="1" x14ac:dyDescent="0.25">
      <c r="A6" s="344"/>
      <c r="B6" s="344"/>
      <c r="C6" s="344"/>
      <c r="D6" s="344"/>
      <c r="E6" s="344"/>
      <c r="F6" s="344"/>
      <c r="G6" s="181">
        <f t="shared" ref="G6:Q6" si="1">SUM(G3:G5)</f>
        <v>23.09</v>
      </c>
      <c r="H6" s="61">
        <f t="shared" si="1"/>
        <v>23.09</v>
      </c>
      <c r="I6" s="62">
        <f t="shared" si="1"/>
        <v>0</v>
      </c>
      <c r="J6" s="62">
        <f t="shared" si="1"/>
        <v>0</v>
      </c>
      <c r="K6" s="62">
        <f t="shared" si="1"/>
        <v>0</v>
      </c>
      <c r="L6" s="62">
        <f t="shared" si="1"/>
        <v>0</v>
      </c>
      <c r="M6" s="62">
        <f t="shared" si="1"/>
        <v>0</v>
      </c>
      <c r="N6" s="62">
        <f t="shared" si="1"/>
        <v>0</v>
      </c>
      <c r="O6" s="62">
        <f t="shared" si="1"/>
        <v>0</v>
      </c>
      <c r="P6" s="62">
        <f t="shared" si="1"/>
        <v>0</v>
      </c>
      <c r="Q6" s="62">
        <f t="shared" si="1"/>
        <v>0</v>
      </c>
    </row>
    <row r="7" spans="1:18" s="32" customFormat="1" ht="30" customHeight="1" x14ac:dyDescent="0.25">
      <c r="A7" s="27"/>
      <c r="B7" s="27"/>
      <c r="C7" s="27"/>
      <c r="D7" s="28"/>
      <c r="E7" s="28"/>
      <c r="F7" s="23"/>
      <c r="G7" s="30"/>
      <c r="H7" s="22"/>
      <c r="I7" s="22"/>
      <c r="J7" s="22"/>
      <c r="K7" s="22"/>
      <c r="L7" s="22"/>
      <c r="M7" s="22"/>
      <c r="N7" s="22"/>
      <c r="O7" s="22"/>
      <c r="P7" s="22"/>
      <c r="Q7" s="22"/>
      <c r="R7" s="12"/>
    </row>
    <row r="8" spans="1:18" s="27" customFormat="1" x14ac:dyDescent="0.25">
      <c r="D8" s="28"/>
      <c r="E8" s="28"/>
      <c r="F8" s="23"/>
      <c r="G8" s="30"/>
      <c r="H8" s="22"/>
      <c r="I8" s="22"/>
      <c r="J8" s="22"/>
      <c r="K8" s="22"/>
      <c r="L8" s="22"/>
      <c r="M8" s="22"/>
      <c r="N8" s="22"/>
      <c r="O8" s="22"/>
      <c r="P8" s="22"/>
      <c r="Q8" s="22"/>
      <c r="R8" s="33"/>
    </row>
    <row r="9" spans="1:18" s="27" customFormat="1" x14ac:dyDescent="0.25">
      <c r="D9" s="28"/>
      <c r="E9" s="28"/>
      <c r="F9" s="23"/>
      <c r="G9" s="30"/>
      <c r="H9" s="22"/>
      <c r="I9" s="22"/>
      <c r="J9" s="22"/>
      <c r="K9" s="22"/>
      <c r="L9" s="22"/>
      <c r="M9" s="22"/>
      <c r="N9" s="22"/>
      <c r="O9" s="22"/>
      <c r="P9" s="22"/>
      <c r="Q9" s="22"/>
      <c r="R9" s="33"/>
    </row>
  </sheetData>
  <mergeCells count="2">
    <mergeCell ref="A1:G1"/>
    <mergeCell ref="A6:F6"/>
  </mergeCells>
  <phoneticPr fontId="15" type="noConversion"/>
  <pageMargins left="0.25" right="0.25" top="0.75" bottom="0.75" header="0.3" footer="0.3"/>
  <pageSetup paperSize="5" scale="64" fitToHeight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1E88-F5E1-4D68-ADEC-4759B47F947D}">
  <sheetPr>
    <tabColor rgb="FFFF0000"/>
    <pageSetUpPr fitToPage="1"/>
  </sheetPr>
  <dimension ref="A1:R19"/>
  <sheetViews>
    <sheetView view="pageBreakPreview" topLeftCell="B10" zoomScale="115" zoomScaleSheetLayoutView="115" workbookViewId="0">
      <selection activeCell="J21" sqref="J21"/>
    </sheetView>
  </sheetViews>
  <sheetFormatPr defaultColWidth="9.140625" defaultRowHeight="15.75" x14ac:dyDescent="0.25"/>
  <cols>
    <col min="1" max="1" width="7.140625" style="84" customWidth="1"/>
    <col min="2" max="2" width="12.42578125" style="84" bestFit="1" customWidth="1"/>
    <col min="3" max="3" width="6.140625" style="84" bestFit="1" customWidth="1"/>
    <col min="4" max="4" width="25.42578125" style="76" customWidth="1"/>
    <col min="5" max="5" width="23.42578125" style="76" customWidth="1"/>
    <col min="6" max="6" width="43.42578125" style="45" customWidth="1"/>
    <col min="7" max="7" width="10.42578125" style="77" customWidth="1"/>
    <col min="8" max="17" width="10.42578125" style="72" customWidth="1"/>
    <col min="18" max="18" width="9.140625" style="72"/>
    <col min="19" max="16384" width="9.140625" style="45"/>
  </cols>
  <sheetData>
    <row r="1" spans="1:18" ht="24" customHeight="1" x14ac:dyDescent="0.25">
      <c r="A1" s="341" t="s">
        <v>866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71" customFormat="1" ht="31.5" x14ac:dyDescent="0.25">
      <c r="A2" s="40" t="s">
        <v>705</v>
      </c>
      <c r="B2" s="40" t="s">
        <v>18</v>
      </c>
      <c r="C2" s="41" t="s">
        <v>17</v>
      </c>
      <c r="D2" s="41" t="s">
        <v>486</v>
      </c>
      <c r="E2" s="50" t="s">
        <v>487</v>
      </c>
      <c r="F2" s="50" t="s">
        <v>988</v>
      </c>
      <c r="G2" s="51" t="s">
        <v>836</v>
      </c>
      <c r="H2" s="41" t="s">
        <v>3</v>
      </c>
      <c r="I2" s="78" t="s">
        <v>4</v>
      </c>
      <c r="J2" s="78" t="s">
        <v>5</v>
      </c>
      <c r="K2" s="79" t="s">
        <v>6</v>
      </c>
      <c r="L2" s="79" t="s">
        <v>7</v>
      </c>
      <c r="M2" s="79" t="s">
        <v>8</v>
      </c>
      <c r="N2" s="79" t="s">
        <v>9</v>
      </c>
      <c r="O2" s="79" t="s">
        <v>10</v>
      </c>
      <c r="P2" s="79" t="s">
        <v>11</v>
      </c>
      <c r="Q2" s="80" t="s">
        <v>12</v>
      </c>
      <c r="R2" s="70"/>
    </row>
    <row r="3" spans="1:18" s="71" customFormat="1" x14ac:dyDescent="0.25">
      <c r="A3" s="40"/>
      <c r="B3" s="40"/>
      <c r="C3" s="41"/>
      <c r="D3" s="73"/>
      <c r="E3" s="50"/>
      <c r="F3" s="50"/>
      <c r="G3" s="51"/>
      <c r="H3" s="41"/>
      <c r="I3" s="78"/>
      <c r="J3" s="78"/>
      <c r="K3" s="79"/>
      <c r="L3" s="79"/>
      <c r="M3" s="79"/>
      <c r="N3" s="79"/>
      <c r="O3" s="79"/>
      <c r="P3" s="79"/>
      <c r="Q3" s="80"/>
      <c r="R3" s="70"/>
    </row>
    <row r="4" spans="1:18" ht="47.25" x14ac:dyDescent="0.25">
      <c r="A4" s="68" t="s">
        <v>771</v>
      </c>
      <c r="B4" s="68" t="s">
        <v>772</v>
      </c>
      <c r="C4" s="68">
        <v>87</v>
      </c>
      <c r="D4" s="81" t="s">
        <v>533</v>
      </c>
      <c r="E4" s="16" t="s">
        <v>411</v>
      </c>
      <c r="F4" s="82" t="s">
        <v>111</v>
      </c>
      <c r="G4" s="181">
        <f t="shared" ref="G4:G17" si="0">SUM(H4:Q4)</f>
        <v>20</v>
      </c>
      <c r="H4" s="58">
        <v>0</v>
      </c>
      <c r="I4" s="58">
        <v>6</v>
      </c>
      <c r="J4" s="58">
        <v>1.5</v>
      </c>
      <c r="K4" s="58">
        <v>2.5</v>
      </c>
      <c r="L4" s="58">
        <v>1</v>
      </c>
      <c r="M4" s="58">
        <v>0</v>
      </c>
      <c r="N4" s="58">
        <v>5</v>
      </c>
      <c r="O4" s="58">
        <v>1</v>
      </c>
      <c r="P4" s="58">
        <v>2</v>
      </c>
      <c r="Q4" s="58">
        <v>1</v>
      </c>
    </row>
    <row r="5" spans="1:18" ht="47.25" x14ac:dyDescent="0.25">
      <c r="A5" s="68" t="s">
        <v>771</v>
      </c>
      <c r="B5" s="68" t="s">
        <v>772</v>
      </c>
      <c r="C5" s="68">
        <v>88</v>
      </c>
      <c r="D5" s="43" t="s">
        <v>536</v>
      </c>
      <c r="E5" s="16" t="s">
        <v>411</v>
      </c>
      <c r="F5" s="17" t="s">
        <v>106</v>
      </c>
      <c r="G5" s="181">
        <f t="shared" si="0"/>
        <v>40</v>
      </c>
      <c r="H5" s="58">
        <v>0</v>
      </c>
      <c r="I5" s="58">
        <v>22</v>
      </c>
      <c r="J5" s="58">
        <v>18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8" ht="31.5" x14ac:dyDescent="0.25">
      <c r="A6" s="68" t="s">
        <v>771</v>
      </c>
      <c r="B6" s="68" t="s">
        <v>772</v>
      </c>
      <c r="C6" s="68">
        <v>88</v>
      </c>
      <c r="D6" s="43" t="s">
        <v>536</v>
      </c>
      <c r="E6" s="16" t="s">
        <v>411</v>
      </c>
      <c r="F6" s="17" t="s">
        <v>107</v>
      </c>
      <c r="G6" s="181">
        <f t="shared" si="0"/>
        <v>4</v>
      </c>
      <c r="H6" s="58">
        <v>0</v>
      </c>
      <c r="I6" s="58">
        <v>2</v>
      </c>
      <c r="J6" s="58">
        <v>2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</row>
    <row r="7" spans="1:18" ht="31.5" x14ac:dyDescent="0.25">
      <c r="A7" s="68" t="s">
        <v>771</v>
      </c>
      <c r="B7" s="68" t="s">
        <v>772</v>
      </c>
      <c r="C7" s="68">
        <v>88</v>
      </c>
      <c r="D7" s="43" t="s">
        <v>536</v>
      </c>
      <c r="E7" s="16" t="s">
        <v>411</v>
      </c>
      <c r="F7" s="17" t="s">
        <v>108</v>
      </c>
      <c r="G7" s="181">
        <f t="shared" si="0"/>
        <v>8</v>
      </c>
      <c r="H7" s="58">
        <v>0</v>
      </c>
      <c r="I7" s="74">
        <v>5</v>
      </c>
      <c r="J7" s="58">
        <v>3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</row>
    <row r="8" spans="1:18" ht="31.5" x14ac:dyDescent="0.25">
      <c r="A8" s="68" t="s">
        <v>771</v>
      </c>
      <c r="B8" s="68" t="s">
        <v>772</v>
      </c>
      <c r="C8" s="68">
        <v>88</v>
      </c>
      <c r="D8" s="43" t="s">
        <v>536</v>
      </c>
      <c r="E8" s="16" t="s">
        <v>411</v>
      </c>
      <c r="F8" s="17" t="s">
        <v>109</v>
      </c>
      <c r="G8" s="181">
        <f t="shared" si="0"/>
        <v>3</v>
      </c>
      <c r="H8" s="58">
        <v>0</v>
      </c>
      <c r="I8" s="58">
        <v>2</v>
      </c>
      <c r="J8" s="58">
        <v>1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</row>
    <row r="9" spans="1:18" ht="31.5" x14ac:dyDescent="0.25">
      <c r="A9" s="68" t="s">
        <v>771</v>
      </c>
      <c r="B9" s="68" t="s">
        <v>772</v>
      </c>
      <c r="C9" s="68">
        <v>88</v>
      </c>
      <c r="D9" s="43" t="s">
        <v>536</v>
      </c>
      <c r="E9" s="16" t="s">
        <v>411</v>
      </c>
      <c r="F9" s="17" t="s">
        <v>482</v>
      </c>
      <c r="G9" s="181">
        <f t="shared" si="0"/>
        <v>6</v>
      </c>
      <c r="H9" s="58">
        <v>0</v>
      </c>
      <c r="I9" s="58">
        <v>3</v>
      </c>
      <c r="J9" s="58">
        <v>3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1:18" ht="47.25" x14ac:dyDescent="0.25">
      <c r="A10" s="68" t="s">
        <v>771</v>
      </c>
      <c r="B10" s="68" t="s">
        <v>772</v>
      </c>
      <c r="C10" s="68">
        <v>92</v>
      </c>
      <c r="D10" s="81" t="s">
        <v>526</v>
      </c>
      <c r="E10" s="16" t="s">
        <v>411</v>
      </c>
      <c r="F10" s="17" t="s">
        <v>102</v>
      </c>
      <c r="G10" s="181">
        <f t="shared" si="0"/>
        <v>2.5</v>
      </c>
      <c r="H10" s="58">
        <v>0</v>
      </c>
      <c r="I10" s="58">
        <v>2.5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</row>
    <row r="11" spans="1:18" ht="31.5" x14ac:dyDescent="0.25">
      <c r="A11" s="68" t="s">
        <v>771</v>
      </c>
      <c r="B11" s="68" t="s">
        <v>772</v>
      </c>
      <c r="C11" s="68">
        <v>93</v>
      </c>
      <c r="D11" s="81" t="s">
        <v>527</v>
      </c>
      <c r="E11" s="16" t="s">
        <v>528</v>
      </c>
      <c r="F11" s="17" t="s">
        <v>529</v>
      </c>
      <c r="G11" s="181">
        <f t="shared" si="0"/>
        <v>9.379999999999999</v>
      </c>
      <c r="H11" s="58">
        <v>0</v>
      </c>
      <c r="I11" s="58">
        <v>1.2250000000000001</v>
      </c>
      <c r="J11" s="58">
        <v>1.05</v>
      </c>
      <c r="K11" s="58">
        <v>1.2250000000000001</v>
      </c>
      <c r="L11" s="58">
        <v>1.05</v>
      </c>
      <c r="M11" s="58">
        <v>0.80500000000000005</v>
      </c>
      <c r="N11" s="58">
        <v>1.2250000000000001</v>
      </c>
      <c r="O11" s="58">
        <v>1.2250000000000001</v>
      </c>
      <c r="P11" s="58">
        <v>0.80500000000000005</v>
      </c>
      <c r="Q11" s="58">
        <v>0.77</v>
      </c>
    </row>
    <row r="12" spans="1:18" ht="31.5" x14ac:dyDescent="0.25">
      <c r="A12" s="68" t="s">
        <v>771</v>
      </c>
      <c r="B12" s="68" t="s">
        <v>772</v>
      </c>
      <c r="C12" s="68">
        <v>94</v>
      </c>
      <c r="D12" s="81" t="s">
        <v>530</v>
      </c>
      <c r="E12" s="16" t="s">
        <v>528</v>
      </c>
      <c r="F12" s="17" t="s">
        <v>103</v>
      </c>
      <c r="G12" s="181">
        <f t="shared" si="0"/>
        <v>8.75</v>
      </c>
      <c r="H12" s="58">
        <v>0</v>
      </c>
      <c r="I12" s="58">
        <v>1.2250000000000001</v>
      </c>
      <c r="J12" s="58">
        <v>1.05</v>
      </c>
      <c r="K12" s="58">
        <v>1.05</v>
      </c>
      <c r="L12" s="58">
        <v>1.05</v>
      </c>
      <c r="M12" s="58">
        <v>0.7</v>
      </c>
      <c r="N12" s="58">
        <v>1.05</v>
      </c>
      <c r="O12" s="58">
        <v>1.05</v>
      </c>
      <c r="P12" s="58">
        <v>0.80500000000000005</v>
      </c>
      <c r="Q12" s="58">
        <v>0.77</v>
      </c>
    </row>
    <row r="13" spans="1:18" ht="63" x14ac:dyDescent="0.25">
      <c r="A13" s="68" t="s">
        <v>771</v>
      </c>
      <c r="B13" s="68" t="s">
        <v>772</v>
      </c>
      <c r="C13" s="68">
        <v>95</v>
      </c>
      <c r="D13" s="43" t="s">
        <v>531</v>
      </c>
      <c r="E13" s="16" t="s">
        <v>532</v>
      </c>
      <c r="F13" s="17" t="s">
        <v>104</v>
      </c>
      <c r="G13" s="181">
        <f t="shared" si="0"/>
        <v>2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1</v>
      </c>
      <c r="O13" s="58">
        <v>0</v>
      </c>
      <c r="P13" s="58">
        <v>1</v>
      </c>
      <c r="Q13" s="58">
        <v>0</v>
      </c>
    </row>
    <row r="14" spans="1:18" ht="31.5" x14ac:dyDescent="0.25">
      <c r="A14" s="68" t="s">
        <v>771</v>
      </c>
      <c r="B14" s="68" t="s">
        <v>772</v>
      </c>
      <c r="C14" s="68">
        <v>96</v>
      </c>
      <c r="D14" s="43" t="s">
        <v>534</v>
      </c>
      <c r="E14" s="16" t="s">
        <v>535</v>
      </c>
      <c r="F14" s="17" t="s">
        <v>105</v>
      </c>
      <c r="G14" s="182">
        <f t="shared" si="0"/>
        <v>1</v>
      </c>
      <c r="H14" s="58">
        <v>1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</row>
    <row r="15" spans="1:18" ht="31.5" x14ac:dyDescent="0.25">
      <c r="A15" s="68" t="s">
        <v>771</v>
      </c>
      <c r="B15" s="68" t="s">
        <v>772</v>
      </c>
      <c r="C15" s="68">
        <v>96</v>
      </c>
      <c r="D15" s="43" t="s">
        <v>534</v>
      </c>
      <c r="E15" s="16" t="s">
        <v>411</v>
      </c>
      <c r="F15" s="44" t="s">
        <v>352</v>
      </c>
      <c r="G15" s="182">
        <f t="shared" si="0"/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</row>
    <row r="16" spans="1:18" ht="47.25" x14ac:dyDescent="0.25">
      <c r="A16" s="68" t="s">
        <v>771</v>
      </c>
      <c r="B16" s="68" t="s">
        <v>772</v>
      </c>
      <c r="C16" s="68">
        <v>96</v>
      </c>
      <c r="D16" s="43" t="s">
        <v>534</v>
      </c>
      <c r="E16" s="16" t="s">
        <v>401</v>
      </c>
      <c r="F16" s="44" t="s">
        <v>112</v>
      </c>
      <c r="G16" s="182">
        <f t="shared" si="0"/>
        <v>3.0000000000000009</v>
      </c>
      <c r="H16" s="58">
        <v>2.1</v>
      </c>
      <c r="I16" s="58">
        <v>0.1</v>
      </c>
      <c r="J16" s="58">
        <v>0.1</v>
      </c>
      <c r="K16" s="58">
        <v>0.1</v>
      </c>
      <c r="L16" s="58">
        <v>0.1</v>
      </c>
      <c r="M16" s="58">
        <v>0.1</v>
      </c>
      <c r="N16" s="58">
        <v>0.1</v>
      </c>
      <c r="O16" s="58">
        <v>0.1</v>
      </c>
      <c r="P16" s="58">
        <v>0.1</v>
      </c>
      <c r="Q16" s="58">
        <v>0.1</v>
      </c>
    </row>
    <row r="17" spans="1:18" ht="31.5" x14ac:dyDescent="0.25">
      <c r="A17" s="68" t="s">
        <v>771</v>
      </c>
      <c r="B17" s="68" t="s">
        <v>772</v>
      </c>
      <c r="C17" s="68">
        <v>96</v>
      </c>
      <c r="D17" s="81" t="s">
        <v>534</v>
      </c>
      <c r="E17" s="16" t="s">
        <v>521</v>
      </c>
      <c r="F17" s="17" t="s">
        <v>110</v>
      </c>
      <c r="G17" s="182">
        <f t="shared" si="0"/>
        <v>6.4</v>
      </c>
      <c r="H17" s="58">
        <v>1.9</v>
      </c>
      <c r="I17" s="58">
        <v>0.5</v>
      </c>
      <c r="J17" s="58">
        <v>0.5</v>
      </c>
      <c r="K17" s="58">
        <v>0.5</v>
      </c>
      <c r="L17" s="58">
        <v>0.5</v>
      </c>
      <c r="M17" s="58">
        <v>0.5</v>
      </c>
      <c r="N17" s="58">
        <v>0.5</v>
      </c>
      <c r="O17" s="58">
        <v>0.5</v>
      </c>
      <c r="P17" s="58">
        <v>0.5</v>
      </c>
      <c r="Q17" s="58">
        <v>0.5</v>
      </c>
    </row>
    <row r="18" spans="1:18" s="75" customFormat="1" ht="30" customHeight="1" x14ac:dyDescent="0.25">
      <c r="A18" s="40"/>
      <c r="B18" s="40"/>
      <c r="C18" s="40"/>
      <c r="D18" s="46"/>
      <c r="E18" s="46"/>
      <c r="F18" s="46" t="s">
        <v>20</v>
      </c>
      <c r="G18" s="41">
        <f t="shared" ref="G18:Q18" si="1">SUM(G4:G17)</f>
        <v>114.03</v>
      </c>
      <c r="H18" s="41">
        <f t="shared" si="1"/>
        <v>5</v>
      </c>
      <c r="I18" s="41">
        <f t="shared" si="1"/>
        <v>45.550000000000004</v>
      </c>
      <c r="J18" s="41">
        <f t="shared" si="1"/>
        <v>31.200000000000003</v>
      </c>
      <c r="K18" s="41">
        <f t="shared" si="1"/>
        <v>5.375</v>
      </c>
      <c r="L18" s="41">
        <f t="shared" si="1"/>
        <v>3.6999999999999997</v>
      </c>
      <c r="M18" s="41">
        <f t="shared" si="1"/>
        <v>2.105</v>
      </c>
      <c r="N18" s="41">
        <f t="shared" si="1"/>
        <v>8.8749999999999982</v>
      </c>
      <c r="O18" s="41">
        <f t="shared" si="1"/>
        <v>3.8750000000000004</v>
      </c>
      <c r="P18" s="41">
        <f t="shared" si="1"/>
        <v>5.21</v>
      </c>
      <c r="Q18" s="41">
        <f t="shared" si="1"/>
        <v>3.14</v>
      </c>
      <c r="R18" s="42"/>
    </row>
    <row r="19" spans="1:18" x14ac:dyDescent="0.25">
      <c r="G19" s="41"/>
    </row>
  </sheetData>
  <autoFilter ref="A3:Q18" xr:uid="{463A1E88-F5E1-4D68-ADEC-4759B47F947D}">
    <sortState xmlns:xlrd2="http://schemas.microsoft.com/office/spreadsheetml/2017/richdata2" ref="A4:Q18">
      <sortCondition ref="C3:C18"/>
    </sortState>
  </autoFilter>
  <mergeCells count="1">
    <mergeCell ref="A1:G1"/>
  </mergeCells>
  <pageMargins left="0.70866141732283472" right="0.70866141732283472" top="0.35433070866141736" bottom="0.35433070866141736" header="0.31496062992125984" footer="0.31496062992125984"/>
  <pageSetup paperSize="5" scale="68" fitToHeight="3" orientation="landscape" horizontalDpi="4294967292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S16"/>
  <sheetViews>
    <sheetView view="pageBreakPreview" topLeftCell="C1" zoomScaleNormal="100" zoomScaleSheetLayoutView="100" workbookViewId="0">
      <selection activeCell="K5" sqref="K5"/>
    </sheetView>
  </sheetViews>
  <sheetFormatPr defaultColWidth="9.140625" defaultRowHeight="15" x14ac:dyDescent="0.25"/>
  <cols>
    <col min="1" max="1" width="9" style="27" bestFit="1" customWidth="1"/>
    <col min="2" max="2" width="11.28515625" style="27" bestFit="1" customWidth="1"/>
    <col min="3" max="3" width="7" style="27" customWidth="1"/>
    <col min="4" max="4" width="32.28515625" style="28" customWidth="1"/>
    <col min="5" max="5" width="32.710937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867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21" customFormat="1" x14ac:dyDescent="0.25">
      <c r="A3" s="36"/>
      <c r="B3" s="36"/>
      <c r="C3" s="36"/>
      <c r="D3" s="37"/>
      <c r="E3" s="36"/>
      <c r="F3" s="36"/>
      <c r="G3" s="38"/>
      <c r="H3" s="29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</row>
    <row r="4" spans="1:19" ht="30" x14ac:dyDescent="0.25">
      <c r="A4" s="7" t="s">
        <v>728</v>
      </c>
      <c r="B4" s="7" t="s">
        <v>40</v>
      </c>
      <c r="C4" s="7">
        <v>97</v>
      </c>
      <c r="D4" s="11" t="s">
        <v>773</v>
      </c>
      <c r="E4" s="11" t="s">
        <v>401</v>
      </c>
      <c r="F4" s="10" t="s">
        <v>135</v>
      </c>
      <c r="G4" s="231">
        <f>SUM(H4:Q4)</f>
        <v>6</v>
      </c>
      <c r="H4" s="3">
        <v>6</v>
      </c>
      <c r="I4" s="3"/>
      <c r="J4" s="3"/>
      <c r="K4" s="3"/>
      <c r="L4" s="3"/>
      <c r="M4" s="3"/>
      <c r="N4" s="3"/>
      <c r="O4" s="3"/>
      <c r="P4" s="3"/>
      <c r="Q4" s="3"/>
    </row>
    <row r="5" spans="1:19" ht="30" x14ac:dyDescent="0.25">
      <c r="A5" s="7" t="s">
        <v>728</v>
      </c>
      <c r="B5" s="7" t="s">
        <v>40</v>
      </c>
      <c r="C5" s="7">
        <v>97</v>
      </c>
      <c r="D5" s="11" t="s">
        <v>773</v>
      </c>
      <c r="E5" s="11" t="s">
        <v>410</v>
      </c>
      <c r="F5" s="10" t="s">
        <v>136</v>
      </c>
      <c r="G5" s="231">
        <f t="shared" ref="G5:G15" si="0">SUM(H5:Q5)</f>
        <v>2.4</v>
      </c>
      <c r="H5" s="3">
        <v>2.4</v>
      </c>
      <c r="I5" s="3"/>
      <c r="J5" s="3"/>
      <c r="K5" s="3"/>
      <c r="L5" s="3"/>
      <c r="M5" s="3"/>
      <c r="N5" s="3"/>
      <c r="O5" s="3"/>
      <c r="P5" s="3"/>
      <c r="Q5" s="3"/>
    </row>
    <row r="6" spans="1:19" ht="30" x14ac:dyDescent="0.25">
      <c r="A6" s="7" t="s">
        <v>728</v>
      </c>
      <c r="B6" s="7" t="s">
        <v>40</v>
      </c>
      <c r="C6" s="7">
        <v>97</v>
      </c>
      <c r="D6" s="11" t="s">
        <v>773</v>
      </c>
      <c r="E6" s="11" t="s">
        <v>118</v>
      </c>
      <c r="F6" s="10" t="s">
        <v>118</v>
      </c>
      <c r="G6" s="231">
        <f t="shared" si="0"/>
        <v>10</v>
      </c>
      <c r="H6" s="3">
        <v>10</v>
      </c>
      <c r="I6" s="3"/>
      <c r="J6" s="3"/>
      <c r="K6" s="3"/>
      <c r="L6" s="3"/>
      <c r="M6" s="3"/>
      <c r="N6" s="3"/>
      <c r="O6" s="3"/>
      <c r="P6" s="3"/>
      <c r="Q6" s="3"/>
    </row>
    <row r="7" spans="1:19" ht="30" x14ac:dyDescent="0.25">
      <c r="A7" s="7" t="s">
        <v>728</v>
      </c>
      <c r="B7" s="7" t="s">
        <v>40</v>
      </c>
      <c r="C7" s="7">
        <v>97</v>
      </c>
      <c r="D7" s="11" t="s">
        <v>773</v>
      </c>
      <c r="E7" s="11" t="s">
        <v>411</v>
      </c>
      <c r="F7" s="10" t="s">
        <v>137</v>
      </c>
      <c r="G7" s="231">
        <f t="shared" si="0"/>
        <v>4.5</v>
      </c>
      <c r="H7" s="3"/>
      <c r="I7" s="3"/>
      <c r="J7" s="3">
        <v>1</v>
      </c>
      <c r="K7" s="3">
        <v>0.5</v>
      </c>
      <c r="L7" s="3">
        <v>0.5</v>
      </c>
      <c r="M7" s="3">
        <v>0.5</v>
      </c>
      <c r="N7" s="3">
        <v>0.5</v>
      </c>
      <c r="O7" s="3">
        <v>0.5</v>
      </c>
      <c r="P7" s="3">
        <v>0.5</v>
      </c>
      <c r="Q7" s="3">
        <v>0.5</v>
      </c>
    </row>
    <row r="8" spans="1:19" ht="30" x14ac:dyDescent="0.25">
      <c r="A8" s="7" t="s">
        <v>728</v>
      </c>
      <c r="B8" s="7" t="s">
        <v>40</v>
      </c>
      <c r="C8" s="7">
        <v>97</v>
      </c>
      <c r="D8" s="11" t="s">
        <v>773</v>
      </c>
      <c r="E8" s="11" t="s">
        <v>412</v>
      </c>
      <c r="F8" s="10" t="s">
        <v>121</v>
      </c>
      <c r="G8" s="231">
        <f t="shared" si="0"/>
        <v>12.86</v>
      </c>
      <c r="H8" s="3">
        <v>12.86</v>
      </c>
      <c r="I8" s="3"/>
      <c r="J8" s="3"/>
      <c r="K8" s="3"/>
      <c r="L8" s="3"/>
      <c r="M8" s="3"/>
      <c r="N8" s="3"/>
      <c r="O8" s="3"/>
      <c r="P8" s="3"/>
      <c r="Q8" s="3"/>
    </row>
    <row r="9" spans="1:19" ht="30" x14ac:dyDescent="0.25">
      <c r="A9" s="7" t="s">
        <v>728</v>
      </c>
      <c r="B9" s="7" t="s">
        <v>40</v>
      </c>
      <c r="C9" s="7">
        <v>97</v>
      </c>
      <c r="D9" s="11" t="s">
        <v>773</v>
      </c>
      <c r="E9" s="11" t="s">
        <v>401</v>
      </c>
      <c r="F9" s="10" t="s">
        <v>138</v>
      </c>
      <c r="G9" s="231">
        <f t="shared" si="0"/>
        <v>2.5</v>
      </c>
      <c r="H9" s="3">
        <v>2.5</v>
      </c>
      <c r="I9" s="3"/>
      <c r="J9" s="3"/>
      <c r="K9" s="3"/>
      <c r="L9" s="3"/>
      <c r="M9" s="3"/>
      <c r="N9" s="3"/>
      <c r="O9" s="3"/>
      <c r="P9" s="3"/>
      <c r="Q9" s="3"/>
    </row>
    <row r="10" spans="1:19" ht="30" x14ac:dyDescent="0.25">
      <c r="A10" s="7" t="s">
        <v>728</v>
      </c>
      <c r="B10" s="7" t="s">
        <v>40</v>
      </c>
      <c r="C10" s="7">
        <v>97</v>
      </c>
      <c r="D10" s="11" t="s">
        <v>773</v>
      </c>
      <c r="E10" s="11" t="s">
        <v>401</v>
      </c>
      <c r="F10" s="10" t="s">
        <v>139</v>
      </c>
      <c r="G10" s="231">
        <f t="shared" si="0"/>
        <v>6.0000000000000018</v>
      </c>
      <c r="H10" s="3">
        <v>4.2</v>
      </c>
      <c r="I10" s="3"/>
      <c r="J10" s="3">
        <v>0.4</v>
      </c>
      <c r="K10" s="3">
        <v>0.2</v>
      </c>
      <c r="L10" s="3">
        <v>0.2</v>
      </c>
      <c r="M10" s="3">
        <v>0.2</v>
      </c>
      <c r="N10" s="3">
        <v>0.2</v>
      </c>
      <c r="O10" s="3">
        <v>0.2</v>
      </c>
      <c r="P10" s="3">
        <v>0.2</v>
      </c>
      <c r="Q10" s="3">
        <v>0.2</v>
      </c>
    </row>
    <row r="11" spans="1:19" ht="30" x14ac:dyDescent="0.25">
      <c r="A11" s="7" t="s">
        <v>728</v>
      </c>
      <c r="B11" s="7" t="s">
        <v>40</v>
      </c>
      <c r="C11" s="7">
        <v>97</v>
      </c>
      <c r="D11" s="11" t="s">
        <v>773</v>
      </c>
      <c r="E11" s="11" t="s">
        <v>411</v>
      </c>
      <c r="F11" s="10" t="s">
        <v>140</v>
      </c>
      <c r="G11" s="231">
        <f t="shared" si="0"/>
        <v>6</v>
      </c>
      <c r="H11" s="3">
        <v>6</v>
      </c>
      <c r="I11" s="3"/>
      <c r="J11" s="3"/>
      <c r="K11" s="3"/>
      <c r="L11" s="3"/>
      <c r="M11" s="3"/>
      <c r="N11" s="3"/>
      <c r="O11" s="3"/>
      <c r="P11" s="3"/>
      <c r="Q11" s="3"/>
    </row>
    <row r="12" spans="1:19" ht="30" x14ac:dyDescent="0.25">
      <c r="A12" s="7" t="s">
        <v>728</v>
      </c>
      <c r="B12" s="7" t="s">
        <v>40</v>
      </c>
      <c r="C12" s="7">
        <v>97</v>
      </c>
      <c r="D12" s="11" t="s">
        <v>773</v>
      </c>
      <c r="E12" s="11" t="s">
        <v>415</v>
      </c>
      <c r="F12" s="10" t="s">
        <v>141</v>
      </c>
      <c r="G12" s="231">
        <f t="shared" si="0"/>
        <v>7.17</v>
      </c>
      <c r="H12" s="3">
        <v>7.17</v>
      </c>
      <c r="I12" s="3"/>
      <c r="J12" s="3"/>
      <c r="K12" s="3"/>
      <c r="L12" s="3"/>
      <c r="M12" s="3"/>
      <c r="N12" s="3"/>
      <c r="O12" s="3"/>
      <c r="P12" s="3"/>
      <c r="Q12" s="3"/>
    </row>
    <row r="13" spans="1:19" ht="30" x14ac:dyDescent="0.25">
      <c r="A13" s="7" t="s">
        <v>728</v>
      </c>
      <c r="B13" s="7" t="s">
        <v>40</v>
      </c>
      <c r="C13" s="7">
        <v>97</v>
      </c>
      <c r="D13" s="11" t="s">
        <v>773</v>
      </c>
      <c r="E13" s="11" t="s">
        <v>415</v>
      </c>
      <c r="F13" s="10" t="s">
        <v>413</v>
      </c>
      <c r="G13" s="231">
        <f>SUM(H13:Q13)</f>
        <v>3</v>
      </c>
      <c r="H13" s="3">
        <v>3</v>
      </c>
      <c r="I13" s="3"/>
      <c r="J13" s="3"/>
      <c r="K13" s="3"/>
      <c r="L13" s="3"/>
      <c r="M13" s="3"/>
      <c r="N13" s="3"/>
      <c r="O13" s="3"/>
      <c r="P13" s="3"/>
      <c r="Q13" s="3"/>
    </row>
    <row r="14" spans="1:19" ht="30" x14ac:dyDescent="0.25">
      <c r="A14" s="7" t="s">
        <v>728</v>
      </c>
      <c r="B14" s="7" t="s">
        <v>40</v>
      </c>
      <c r="C14" s="7">
        <v>97</v>
      </c>
      <c r="D14" s="11" t="s">
        <v>773</v>
      </c>
      <c r="E14" s="11" t="s">
        <v>415</v>
      </c>
      <c r="F14" s="10" t="s">
        <v>414</v>
      </c>
      <c r="G14" s="231">
        <f>SUM(H14:Q14)</f>
        <v>1.97</v>
      </c>
      <c r="H14" s="3">
        <v>1.97</v>
      </c>
      <c r="I14" s="3"/>
      <c r="J14" s="3"/>
      <c r="K14" s="3"/>
      <c r="L14" s="3"/>
      <c r="M14" s="3"/>
      <c r="N14" s="3"/>
      <c r="O14" s="3"/>
      <c r="P14" s="3"/>
      <c r="Q14" s="3"/>
    </row>
    <row r="15" spans="1:19" ht="30" x14ac:dyDescent="0.25">
      <c r="A15" s="7" t="s">
        <v>728</v>
      </c>
      <c r="B15" s="7" t="s">
        <v>40</v>
      </c>
      <c r="C15" s="7">
        <v>97</v>
      </c>
      <c r="D15" s="11" t="s">
        <v>773</v>
      </c>
      <c r="E15" s="11" t="s">
        <v>415</v>
      </c>
      <c r="F15" s="10" t="s">
        <v>142</v>
      </c>
      <c r="G15" s="231">
        <f t="shared" si="0"/>
        <v>0.89999999999999991</v>
      </c>
      <c r="H15" s="3">
        <v>0.1</v>
      </c>
      <c r="I15" s="3"/>
      <c r="J15" s="3">
        <v>0.1</v>
      </c>
      <c r="K15" s="3">
        <v>0.1</v>
      </c>
      <c r="L15" s="3">
        <v>0.1</v>
      </c>
      <c r="M15" s="3">
        <v>0.1</v>
      </c>
      <c r="N15" s="3">
        <v>0.1</v>
      </c>
      <c r="O15" s="3">
        <v>0.1</v>
      </c>
      <c r="P15" s="3">
        <v>0.1</v>
      </c>
      <c r="Q15" s="3">
        <v>0.1</v>
      </c>
    </row>
    <row r="16" spans="1:19" s="32" customFormat="1" ht="30" customHeight="1" x14ac:dyDescent="0.25">
      <c r="A16" s="14"/>
      <c r="B16" s="14"/>
      <c r="C16" s="14"/>
      <c r="D16" s="31"/>
      <c r="E16" s="31"/>
      <c r="F16" s="14" t="s">
        <v>20</v>
      </c>
      <c r="G16" s="231">
        <f t="shared" ref="G16:Q16" si="1">SUM(G4:G15)</f>
        <v>63.3</v>
      </c>
      <c r="H16" s="29">
        <f t="shared" si="1"/>
        <v>56.2</v>
      </c>
      <c r="I16" s="29">
        <f t="shared" si="1"/>
        <v>0</v>
      </c>
      <c r="J16" s="29">
        <f t="shared" si="1"/>
        <v>1.5</v>
      </c>
      <c r="K16" s="29">
        <f t="shared" si="1"/>
        <v>0.79999999999999993</v>
      </c>
      <c r="L16" s="29">
        <f t="shared" si="1"/>
        <v>0.79999999999999993</v>
      </c>
      <c r="M16" s="29">
        <f t="shared" si="1"/>
        <v>0.79999999999999993</v>
      </c>
      <c r="N16" s="29">
        <f t="shared" si="1"/>
        <v>0.79999999999999993</v>
      </c>
      <c r="O16" s="29">
        <f t="shared" si="1"/>
        <v>0.79999999999999993</v>
      </c>
      <c r="P16" s="29">
        <f t="shared" si="1"/>
        <v>0.79999999999999993</v>
      </c>
      <c r="Q16" s="29">
        <f t="shared" si="1"/>
        <v>0.79999999999999993</v>
      </c>
      <c r="R16" s="22"/>
      <c r="S16" s="12"/>
    </row>
  </sheetData>
  <autoFilter ref="A3:Q16" xr:uid="{00000000-0001-0000-1D00-000000000000}"/>
  <mergeCells count="1">
    <mergeCell ref="A1:G1"/>
  </mergeCells>
  <pageMargins left="0.7" right="0.7" top="0.75" bottom="0.75" header="0.3" footer="0.3"/>
  <pageSetup paperSize="5" scale="59" fitToHeight="8" orientation="landscape" horizontalDpi="4294967292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A591-4C70-4D49-BDA5-79F3D5EAF1F9}">
  <sheetPr>
    <tabColor rgb="FFFF0000"/>
    <pageSetUpPr fitToPage="1"/>
  </sheetPr>
  <dimension ref="A1:Q9"/>
  <sheetViews>
    <sheetView view="pageBreakPreview" zoomScale="90" zoomScaleNormal="100" zoomScaleSheetLayoutView="90" workbookViewId="0">
      <pane ySplit="2" topLeftCell="A3" activePane="bottomLeft" state="frozen"/>
      <selection pane="bottomLeft" activeCell="J14" sqref="J14"/>
    </sheetView>
  </sheetViews>
  <sheetFormatPr defaultColWidth="9.140625" defaultRowHeight="15.75" x14ac:dyDescent="0.25"/>
  <cols>
    <col min="1" max="1" width="10.42578125" style="76" bestFit="1" customWidth="1"/>
    <col min="2" max="2" width="9.85546875" style="76" customWidth="1"/>
    <col min="3" max="3" width="5.42578125" style="76" bestFit="1" customWidth="1"/>
    <col min="4" max="4" width="17.7109375" style="76" bestFit="1" customWidth="1"/>
    <col min="5" max="5" width="20.7109375" style="76" customWidth="1"/>
    <col min="6" max="6" width="55.28515625" style="45" customWidth="1"/>
    <col min="7" max="7" width="10.42578125" style="72" bestFit="1" customWidth="1"/>
    <col min="8" max="8" width="10.42578125" style="72" customWidth="1"/>
    <col min="9" max="9" width="11.28515625" style="72" customWidth="1"/>
    <col min="10" max="11" width="12.140625" style="72" customWidth="1"/>
    <col min="12" max="12" width="10.7109375" style="72" customWidth="1"/>
    <col min="13" max="13" width="12.7109375" style="72" customWidth="1"/>
    <col min="14" max="14" width="11.140625" style="72" customWidth="1"/>
    <col min="15" max="15" width="10.42578125" style="72" customWidth="1"/>
    <col min="16" max="16" width="10.28515625" style="72" customWidth="1"/>
    <col min="17" max="17" width="11.140625" style="72" customWidth="1"/>
    <col min="18" max="16384" width="9.140625" style="45"/>
  </cols>
  <sheetData>
    <row r="1" spans="1:17" ht="24" customHeight="1" x14ac:dyDescent="0.25">
      <c r="A1" s="351" t="s">
        <v>868</v>
      </c>
      <c r="B1" s="351"/>
      <c r="C1" s="351"/>
      <c r="D1" s="351"/>
      <c r="E1" s="351"/>
      <c r="F1" s="351"/>
      <c r="G1" s="352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71" customFormat="1" ht="55.5" customHeight="1" x14ac:dyDescent="0.25">
      <c r="A2" s="50" t="s">
        <v>705</v>
      </c>
      <c r="B2" s="50" t="s">
        <v>488</v>
      </c>
      <c r="C2" s="50" t="s">
        <v>17</v>
      </c>
      <c r="D2" s="50" t="s">
        <v>486</v>
      </c>
      <c r="E2" s="50" t="s">
        <v>506</v>
      </c>
      <c r="F2" s="50" t="s">
        <v>988</v>
      </c>
      <c r="G2" s="51" t="s">
        <v>836</v>
      </c>
      <c r="H2" s="51" t="s">
        <v>3</v>
      </c>
      <c r="I2" s="52" t="s">
        <v>4</v>
      </c>
      <c r="J2" s="52" t="s">
        <v>5</v>
      </c>
      <c r="K2" s="52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41" t="s">
        <v>12</v>
      </c>
    </row>
    <row r="3" spans="1:17" s="71" customFormat="1" x14ac:dyDescent="0.25">
      <c r="A3" s="49"/>
      <c r="B3" s="50"/>
      <c r="C3" s="50"/>
      <c r="D3" s="50"/>
      <c r="E3" s="50"/>
      <c r="F3" s="50"/>
      <c r="G3" s="51"/>
      <c r="H3" s="51"/>
      <c r="I3" s="52"/>
      <c r="J3" s="52"/>
      <c r="K3" s="52"/>
      <c r="L3" s="52"/>
      <c r="M3" s="52"/>
      <c r="N3" s="52"/>
      <c r="O3" s="52"/>
      <c r="P3" s="52"/>
      <c r="Q3" s="41"/>
    </row>
    <row r="4" spans="1:17" ht="47.25" x14ac:dyDescent="0.25">
      <c r="A4" s="68" t="s">
        <v>706</v>
      </c>
      <c r="B4" s="68" t="s">
        <v>42</v>
      </c>
      <c r="C4" s="68">
        <v>99</v>
      </c>
      <c r="D4" s="68" t="s">
        <v>507</v>
      </c>
      <c r="E4" s="169" t="s">
        <v>692</v>
      </c>
      <c r="F4" s="16" t="s">
        <v>702</v>
      </c>
      <c r="G4" s="181">
        <f t="shared" ref="G4:G8" si="0">SUM(H4:Q4)</f>
        <v>19.95</v>
      </c>
      <c r="H4" s="211">
        <v>19.95</v>
      </c>
      <c r="I4" s="211">
        <v>0</v>
      </c>
      <c r="J4" s="211">
        <v>0</v>
      </c>
      <c r="K4" s="211">
        <v>0</v>
      </c>
      <c r="L4" s="211">
        <v>0</v>
      </c>
      <c r="M4" s="211">
        <v>0</v>
      </c>
      <c r="N4" s="211">
        <v>0</v>
      </c>
      <c r="O4" s="211">
        <v>0</v>
      </c>
      <c r="P4" s="211">
        <v>0</v>
      </c>
      <c r="Q4" s="211">
        <v>0</v>
      </c>
    </row>
    <row r="5" spans="1:17" ht="47.25" x14ac:dyDescent="0.25">
      <c r="A5" s="68" t="s">
        <v>706</v>
      </c>
      <c r="B5" s="68" t="s">
        <v>42</v>
      </c>
      <c r="C5" s="68">
        <v>99</v>
      </c>
      <c r="D5" s="68" t="s">
        <v>507</v>
      </c>
      <c r="E5" s="16" t="s">
        <v>407</v>
      </c>
      <c r="F5" s="16" t="s">
        <v>122</v>
      </c>
      <c r="G5" s="181">
        <f t="shared" si="0"/>
        <v>4.5</v>
      </c>
      <c r="H5" s="211">
        <v>0</v>
      </c>
      <c r="I5" s="211">
        <v>0.5</v>
      </c>
      <c r="J5" s="211">
        <v>0.5</v>
      </c>
      <c r="K5" s="211">
        <v>0.5</v>
      </c>
      <c r="L5" s="211">
        <v>0.5</v>
      </c>
      <c r="M5" s="211">
        <v>0.5</v>
      </c>
      <c r="N5" s="211">
        <v>0.5</v>
      </c>
      <c r="O5" s="211">
        <v>0.5</v>
      </c>
      <c r="P5" s="211">
        <v>0.5</v>
      </c>
      <c r="Q5" s="211">
        <v>0.5</v>
      </c>
    </row>
    <row r="6" spans="1:17" ht="47.25" x14ac:dyDescent="0.25">
      <c r="A6" s="68" t="s">
        <v>706</v>
      </c>
      <c r="B6" s="68" t="s">
        <v>42</v>
      </c>
      <c r="C6" s="68">
        <v>100</v>
      </c>
      <c r="D6" s="68" t="s">
        <v>508</v>
      </c>
      <c r="E6" s="169" t="s">
        <v>692</v>
      </c>
      <c r="F6" s="16" t="s">
        <v>691</v>
      </c>
      <c r="G6" s="181">
        <f t="shared" si="0"/>
        <v>11.4</v>
      </c>
      <c r="H6" s="211">
        <v>0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1">
        <v>11.4</v>
      </c>
      <c r="O6" s="211">
        <v>0</v>
      </c>
      <c r="P6" s="211">
        <v>0</v>
      </c>
      <c r="Q6" s="211">
        <v>0</v>
      </c>
    </row>
    <row r="7" spans="1:17" ht="47.25" x14ac:dyDescent="0.25">
      <c r="A7" s="68" t="s">
        <v>706</v>
      </c>
      <c r="B7" s="68" t="s">
        <v>42</v>
      </c>
      <c r="C7" s="68">
        <v>101</v>
      </c>
      <c r="D7" s="68" t="s">
        <v>509</v>
      </c>
      <c r="E7" s="16" t="s">
        <v>469</v>
      </c>
      <c r="F7" s="16" t="s">
        <v>704</v>
      </c>
      <c r="G7" s="181">
        <f t="shared" si="0"/>
        <v>2.7</v>
      </c>
      <c r="H7" s="211">
        <v>2.7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</row>
    <row r="8" spans="1:17" ht="47.25" x14ac:dyDescent="0.25">
      <c r="A8" s="68" t="s">
        <v>706</v>
      </c>
      <c r="B8" s="168" t="s">
        <v>42</v>
      </c>
      <c r="C8" s="168">
        <v>103</v>
      </c>
      <c r="D8" s="168" t="s">
        <v>510</v>
      </c>
      <c r="E8" s="16" t="s">
        <v>401</v>
      </c>
      <c r="F8" s="16" t="s">
        <v>703</v>
      </c>
      <c r="G8" s="181">
        <f t="shared" si="0"/>
        <v>7</v>
      </c>
      <c r="H8" s="276">
        <v>2.5</v>
      </c>
      <c r="I8" s="276">
        <v>0.5</v>
      </c>
      <c r="J8" s="276">
        <v>0.5</v>
      </c>
      <c r="K8" s="276">
        <v>0.5</v>
      </c>
      <c r="L8" s="276">
        <v>0.5</v>
      </c>
      <c r="M8" s="276">
        <v>0.5</v>
      </c>
      <c r="N8" s="276">
        <v>0.5</v>
      </c>
      <c r="O8" s="276">
        <v>0.5</v>
      </c>
      <c r="P8" s="276">
        <v>0.5</v>
      </c>
      <c r="Q8" s="276">
        <v>0.5</v>
      </c>
    </row>
    <row r="9" spans="1:17" ht="35.25" customHeight="1" x14ac:dyDescent="0.25">
      <c r="A9" s="16"/>
      <c r="B9" s="16"/>
      <c r="C9" s="16"/>
      <c r="D9" s="16"/>
      <c r="E9" s="16"/>
      <c r="F9" s="40" t="s">
        <v>15</v>
      </c>
      <c r="G9" s="41">
        <f t="shared" ref="G9:Q9" si="1">SUM(G4:G8)</f>
        <v>45.550000000000004</v>
      </c>
      <c r="H9" s="41">
        <f t="shared" si="1"/>
        <v>25.15</v>
      </c>
      <c r="I9" s="41">
        <f t="shared" si="1"/>
        <v>1</v>
      </c>
      <c r="J9" s="41">
        <f t="shared" si="1"/>
        <v>1</v>
      </c>
      <c r="K9" s="41">
        <f t="shared" si="1"/>
        <v>1</v>
      </c>
      <c r="L9" s="41">
        <f t="shared" si="1"/>
        <v>1</v>
      </c>
      <c r="M9" s="41">
        <f t="shared" si="1"/>
        <v>1</v>
      </c>
      <c r="N9" s="41">
        <f t="shared" si="1"/>
        <v>12.4</v>
      </c>
      <c r="O9" s="41">
        <f t="shared" si="1"/>
        <v>1</v>
      </c>
      <c r="P9" s="41">
        <f t="shared" si="1"/>
        <v>1</v>
      </c>
      <c r="Q9" s="41">
        <f t="shared" si="1"/>
        <v>1</v>
      </c>
    </row>
  </sheetData>
  <autoFilter ref="A3:Q9" xr:uid="{C2E9A591-4C70-4D49-BDA5-79F3D5EAF1F9}">
    <sortState xmlns:xlrd2="http://schemas.microsoft.com/office/spreadsheetml/2017/richdata2" ref="A4:Q9">
      <sortCondition ref="C3:C9"/>
    </sortState>
  </autoFilter>
  <mergeCells count="1">
    <mergeCell ref="A1:G1"/>
  </mergeCells>
  <phoneticPr fontId="15" type="noConversion"/>
  <pageMargins left="0.7" right="0.7" top="0.75" bottom="0.75" header="0.3" footer="0.3"/>
  <pageSetup paperSize="5" scale="66" fitToHeight="8" orientation="landscape" horizontalDpi="4294967292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9A56-2221-470A-8F92-BF09A80CC779}">
  <sheetPr>
    <tabColor rgb="FFFF0000"/>
    <pageSetUpPr fitToPage="1"/>
  </sheetPr>
  <dimension ref="A1:R19"/>
  <sheetViews>
    <sheetView view="pageBreakPreview" topLeftCell="A10" zoomScaleSheetLayoutView="100" workbookViewId="0">
      <selection activeCell="O14" sqref="O14"/>
    </sheetView>
  </sheetViews>
  <sheetFormatPr defaultColWidth="9.140625" defaultRowHeight="15" x14ac:dyDescent="0.25"/>
  <cols>
    <col min="1" max="1" width="8.85546875" style="27" bestFit="1" customWidth="1"/>
    <col min="2" max="2" width="8" style="27" customWidth="1"/>
    <col min="3" max="3" width="8" style="27" bestFit="1" customWidth="1"/>
    <col min="4" max="4" width="19.28515625" style="28" customWidth="1"/>
    <col min="5" max="5" width="20.42578125" style="28" bestFit="1" customWidth="1"/>
    <col min="6" max="6" width="29.28515625" style="23" customWidth="1"/>
    <col min="7" max="7" width="11.42578125" style="30" customWidth="1"/>
    <col min="8" max="8" width="10.28515625" style="22" customWidth="1"/>
    <col min="9" max="9" width="11.140625" style="22" customWidth="1"/>
    <col min="10" max="10" width="11.85546875" style="22" customWidth="1"/>
    <col min="11" max="11" width="11.28515625" style="22" customWidth="1"/>
    <col min="12" max="13" width="10.42578125" style="22" customWidth="1"/>
    <col min="14" max="14" width="10.140625" style="22" customWidth="1"/>
    <col min="15" max="15" width="10.28515625" style="22" customWidth="1"/>
    <col min="16" max="16" width="10.140625" style="22" customWidth="1"/>
    <col min="17" max="17" width="10.42578125" style="22" customWidth="1"/>
    <col min="18" max="18" width="6.7109375" style="22" customWidth="1"/>
    <col min="19" max="16384" width="9.140625" style="23"/>
  </cols>
  <sheetData>
    <row r="1" spans="1:18" ht="15.6" customHeight="1" x14ac:dyDescent="0.25">
      <c r="A1" s="338" t="s">
        <v>869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21" customFormat="1" ht="28.35" customHeight="1" x14ac:dyDescent="0.25">
      <c r="A2" s="36" t="s">
        <v>705</v>
      </c>
      <c r="B2" s="36" t="s">
        <v>774</v>
      </c>
      <c r="C2" s="14" t="s">
        <v>17</v>
      </c>
      <c r="D2" s="14" t="s">
        <v>486</v>
      </c>
      <c r="E2" s="36" t="s">
        <v>487</v>
      </c>
      <c r="F2" s="14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</row>
    <row r="3" spans="1:18" s="21" customFormat="1" x14ac:dyDescent="0.25">
      <c r="A3" s="36"/>
      <c r="B3" s="36"/>
      <c r="C3" s="64"/>
      <c r="D3" s="64"/>
      <c r="E3" s="36"/>
      <c r="F3" s="64"/>
      <c r="G3" s="38"/>
      <c r="H3" s="29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ht="31.5" x14ac:dyDescent="0.25">
      <c r="A4" s="7" t="s">
        <v>590</v>
      </c>
      <c r="B4" s="7" t="s">
        <v>43</v>
      </c>
      <c r="C4" s="68">
        <v>104</v>
      </c>
      <c r="D4" s="16" t="s">
        <v>744</v>
      </c>
      <c r="E4" s="11" t="s">
        <v>406</v>
      </c>
      <c r="F4" s="16" t="s">
        <v>152</v>
      </c>
      <c r="G4" s="231">
        <f t="shared" ref="G4:G18" si="0">SUM(H4:Q4)</f>
        <v>1.17</v>
      </c>
      <c r="H4" s="3"/>
      <c r="I4" s="3">
        <v>0.13</v>
      </c>
      <c r="J4" s="3">
        <v>0.13</v>
      </c>
      <c r="K4" s="3">
        <v>0.13</v>
      </c>
      <c r="L4" s="3">
        <v>0.13</v>
      </c>
      <c r="M4" s="3">
        <v>0.13</v>
      </c>
      <c r="N4" s="3">
        <v>0.13</v>
      </c>
      <c r="O4" s="3">
        <v>0.13</v>
      </c>
      <c r="P4" s="3">
        <v>0.13</v>
      </c>
      <c r="Q4" s="3">
        <v>0.13</v>
      </c>
    </row>
    <row r="5" spans="1:18" ht="31.5" x14ac:dyDescent="0.25">
      <c r="A5" s="7" t="s">
        <v>590</v>
      </c>
      <c r="B5" s="7" t="s">
        <v>43</v>
      </c>
      <c r="C5" s="68">
        <v>104</v>
      </c>
      <c r="D5" s="16" t="s">
        <v>744</v>
      </c>
      <c r="E5" s="11" t="s">
        <v>406</v>
      </c>
      <c r="F5" s="16" t="s">
        <v>403</v>
      </c>
      <c r="G5" s="231">
        <f t="shared" si="0"/>
        <v>13.950000000000003</v>
      </c>
      <c r="H5" s="3"/>
      <c r="I5" s="3">
        <v>1.55</v>
      </c>
      <c r="J5" s="3">
        <v>1.55</v>
      </c>
      <c r="K5" s="3">
        <v>1.55</v>
      </c>
      <c r="L5" s="3">
        <v>1.55</v>
      </c>
      <c r="M5" s="3">
        <v>1.55</v>
      </c>
      <c r="N5" s="3">
        <v>1.55</v>
      </c>
      <c r="O5" s="3">
        <v>1.55</v>
      </c>
      <c r="P5" s="3">
        <v>1.55</v>
      </c>
      <c r="Q5" s="3">
        <v>1.55</v>
      </c>
    </row>
    <row r="6" spans="1:18" ht="31.5" x14ac:dyDescent="0.25">
      <c r="A6" s="7" t="s">
        <v>590</v>
      </c>
      <c r="B6" s="7" t="s">
        <v>43</v>
      </c>
      <c r="C6" s="68">
        <v>104</v>
      </c>
      <c r="D6" s="16" t="s">
        <v>744</v>
      </c>
      <c r="E6" s="11" t="s">
        <v>406</v>
      </c>
      <c r="F6" s="16" t="s">
        <v>404</v>
      </c>
      <c r="G6" s="231">
        <f t="shared" si="0"/>
        <v>2.67</v>
      </c>
      <c r="H6" s="3">
        <v>2.67</v>
      </c>
      <c r="I6" s="3"/>
      <c r="J6" s="3"/>
      <c r="K6" s="3"/>
      <c r="L6" s="3"/>
      <c r="M6" s="3"/>
      <c r="N6" s="3"/>
      <c r="O6" s="3"/>
      <c r="P6" s="3"/>
      <c r="Q6" s="3"/>
    </row>
    <row r="7" spans="1:18" ht="31.5" x14ac:dyDescent="0.25">
      <c r="A7" s="7" t="s">
        <v>590</v>
      </c>
      <c r="B7" s="7" t="s">
        <v>43</v>
      </c>
      <c r="C7" s="68">
        <v>104</v>
      </c>
      <c r="D7" s="16" t="s">
        <v>744</v>
      </c>
      <c r="E7" s="11" t="s">
        <v>408</v>
      </c>
      <c r="F7" s="16" t="s">
        <v>168</v>
      </c>
      <c r="G7" s="231">
        <f t="shared" si="0"/>
        <v>8.08</v>
      </c>
      <c r="H7" s="58">
        <v>8.08</v>
      </c>
      <c r="I7" s="3"/>
      <c r="J7" s="3"/>
      <c r="K7" s="3"/>
      <c r="L7" s="3"/>
      <c r="M7" s="3"/>
      <c r="N7" s="3"/>
      <c r="O7" s="3"/>
      <c r="P7" s="3"/>
      <c r="Q7" s="3"/>
    </row>
    <row r="8" spans="1:18" ht="31.5" x14ac:dyDescent="0.25">
      <c r="A8" s="7" t="s">
        <v>590</v>
      </c>
      <c r="B8" s="7" t="s">
        <v>43</v>
      </c>
      <c r="C8" s="68">
        <v>104</v>
      </c>
      <c r="D8" s="16" t="s">
        <v>744</v>
      </c>
      <c r="E8" s="11" t="s">
        <v>408</v>
      </c>
      <c r="F8" s="16" t="s">
        <v>169</v>
      </c>
      <c r="G8" s="231">
        <f t="shared" si="0"/>
        <v>0.26</v>
      </c>
      <c r="H8" s="3">
        <v>0.26</v>
      </c>
      <c r="I8" s="3"/>
      <c r="J8" s="3"/>
      <c r="K8" s="3"/>
      <c r="L8" s="3"/>
      <c r="M8" s="3"/>
      <c r="N8" s="3"/>
      <c r="O8" s="3"/>
      <c r="P8" s="3"/>
      <c r="Q8" s="3"/>
    </row>
    <row r="9" spans="1:18" ht="31.5" x14ac:dyDescent="0.25">
      <c r="A9" s="7" t="s">
        <v>590</v>
      </c>
      <c r="B9" s="7" t="s">
        <v>43</v>
      </c>
      <c r="C9" s="68">
        <v>104</v>
      </c>
      <c r="D9" s="16" t="s">
        <v>744</v>
      </c>
      <c r="E9" s="11" t="s">
        <v>408</v>
      </c>
      <c r="F9" s="16" t="s">
        <v>405</v>
      </c>
      <c r="G9" s="231">
        <f t="shared" si="0"/>
        <v>2.31</v>
      </c>
      <c r="H9" s="3">
        <v>2.31</v>
      </c>
      <c r="I9" s="3"/>
      <c r="J9" s="3"/>
      <c r="K9" s="3"/>
      <c r="L9" s="3"/>
      <c r="M9" s="3"/>
      <c r="N9" s="3"/>
      <c r="O9" s="3"/>
      <c r="P9" s="3"/>
      <c r="Q9" s="3"/>
    </row>
    <row r="10" spans="1:18" ht="47.25" x14ac:dyDescent="0.25">
      <c r="A10" s="7" t="s">
        <v>590</v>
      </c>
      <c r="B10" s="7" t="s">
        <v>43</v>
      </c>
      <c r="C10" s="68">
        <v>104</v>
      </c>
      <c r="D10" s="16" t="s">
        <v>744</v>
      </c>
      <c r="E10" s="11" t="s">
        <v>409</v>
      </c>
      <c r="F10" s="63" t="s">
        <v>353</v>
      </c>
      <c r="G10" s="231">
        <f t="shared" si="0"/>
        <v>1.2600000000000002</v>
      </c>
      <c r="H10" s="3"/>
      <c r="I10" s="3">
        <v>0.14000000000000001</v>
      </c>
      <c r="J10" s="3">
        <v>0.14000000000000001</v>
      </c>
      <c r="K10" s="3">
        <v>0.14000000000000001</v>
      </c>
      <c r="L10" s="3">
        <v>0.14000000000000001</v>
      </c>
      <c r="M10" s="3">
        <v>0.14000000000000001</v>
      </c>
      <c r="N10" s="3">
        <v>0.14000000000000001</v>
      </c>
      <c r="O10" s="3">
        <v>0.14000000000000001</v>
      </c>
      <c r="P10" s="3">
        <v>0.14000000000000001</v>
      </c>
      <c r="Q10" s="3">
        <v>0.14000000000000001</v>
      </c>
    </row>
    <row r="11" spans="1:18" ht="45" x14ac:dyDescent="0.25">
      <c r="A11" s="7" t="s">
        <v>590</v>
      </c>
      <c r="B11" s="7" t="s">
        <v>43</v>
      </c>
      <c r="C11" s="68">
        <v>104</v>
      </c>
      <c r="D11" s="16" t="s">
        <v>744</v>
      </c>
      <c r="E11" s="11" t="s">
        <v>409</v>
      </c>
      <c r="F11" s="63" t="s">
        <v>844</v>
      </c>
      <c r="G11" s="231">
        <f t="shared" si="0"/>
        <v>2.0699999999999998</v>
      </c>
      <c r="H11" s="3">
        <v>2.0699999999999998</v>
      </c>
      <c r="I11" s="3"/>
      <c r="J11" s="3"/>
      <c r="K11" s="3"/>
      <c r="L11" s="3"/>
      <c r="M11" s="3"/>
      <c r="N11" s="3"/>
      <c r="O11" s="3"/>
      <c r="P11" s="3"/>
      <c r="Q11" s="3"/>
    </row>
    <row r="12" spans="1:18" ht="45" x14ac:dyDescent="0.25">
      <c r="A12" s="7" t="s">
        <v>590</v>
      </c>
      <c r="B12" s="7" t="s">
        <v>43</v>
      </c>
      <c r="C12" s="68">
        <v>104</v>
      </c>
      <c r="D12" s="16" t="s">
        <v>744</v>
      </c>
      <c r="E12" s="11" t="s">
        <v>409</v>
      </c>
      <c r="F12" s="63" t="s">
        <v>153</v>
      </c>
      <c r="G12" s="231">
        <f t="shared" si="0"/>
        <v>6.2099999999999991</v>
      </c>
      <c r="H12" s="3"/>
      <c r="I12" s="3">
        <v>0.69</v>
      </c>
      <c r="J12" s="3">
        <v>0.69</v>
      </c>
      <c r="K12" s="3">
        <v>0.69</v>
      </c>
      <c r="L12" s="3">
        <v>0.69</v>
      </c>
      <c r="M12" s="3">
        <v>0.69</v>
      </c>
      <c r="N12" s="3">
        <v>0.69</v>
      </c>
      <c r="O12" s="3">
        <v>0.69</v>
      </c>
      <c r="P12" s="3">
        <v>0.69</v>
      </c>
      <c r="Q12" s="3">
        <v>0.69</v>
      </c>
    </row>
    <row r="13" spans="1:18" ht="45" x14ac:dyDescent="0.25">
      <c r="A13" s="7" t="s">
        <v>590</v>
      </c>
      <c r="B13" s="7" t="s">
        <v>43</v>
      </c>
      <c r="C13" s="68">
        <v>104</v>
      </c>
      <c r="D13" s="16" t="s">
        <v>744</v>
      </c>
      <c r="E13" s="11" t="s">
        <v>409</v>
      </c>
      <c r="F13" s="16" t="s">
        <v>355</v>
      </c>
      <c r="G13" s="231">
        <f t="shared" si="0"/>
        <v>0.29700000000000004</v>
      </c>
      <c r="H13" s="58"/>
      <c r="I13" s="3">
        <v>3.3000000000000002E-2</v>
      </c>
      <c r="J13" s="3">
        <v>3.3000000000000002E-2</v>
      </c>
      <c r="K13" s="3">
        <v>3.3000000000000002E-2</v>
      </c>
      <c r="L13" s="3">
        <v>3.3000000000000002E-2</v>
      </c>
      <c r="M13" s="3">
        <v>3.3000000000000002E-2</v>
      </c>
      <c r="N13" s="3">
        <v>3.3000000000000002E-2</v>
      </c>
      <c r="O13" s="3">
        <v>3.3000000000000002E-2</v>
      </c>
      <c r="P13" s="3">
        <v>3.3000000000000002E-2</v>
      </c>
      <c r="Q13" s="3">
        <v>3.3000000000000002E-2</v>
      </c>
    </row>
    <row r="14" spans="1:18" ht="63" x14ac:dyDescent="0.25">
      <c r="A14" s="7" t="s">
        <v>590</v>
      </c>
      <c r="B14" s="7" t="s">
        <v>43</v>
      </c>
      <c r="C14" s="68">
        <v>104</v>
      </c>
      <c r="D14" s="16" t="s">
        <v>744</v>
      </c>
      <c r="E14" s="11" t="s">
        <v>409</v>
      </c>
      <c r="F14" s="63" t="s">
        <v>356</v>
      </c>
      <c r="G14" s="231">
        <f t="shared" si="0"/>
        <v>3.6</v>
      </c>
      <c r="H14" s="58">
        <v>3.6</v>
      </c>
      <c r="I14" s="3"/>
      <c r="J14" s="3"/>
      <c r="K14" s="3"/>
      <c r="L14" s="3"/>
      <c r="M14" s="3"/>
      <c r="N14" s="3"/>
      <c r="O14" s="3"/>
      <c r="P14" s="3"/>
      <c r="Q14" s="3"/>
    </row>
    <row r="15" spans="1:18" ht="110.25" x14ac:dyDescent="0.25">
      <c r="A15" s="7" t="s">
        <v>590</v>
      </c>
      <c r="B15" s="7" t="s">
        <v>43</v>
      </c>
      <c r="C15" s="68">
        <v>104</v>
      </c>
      <c r="D15" s="16" t="s">
        <v>744</v>
      </c>
      <c r="E15" s="11" t="s">
        <v>409</v>
      </c>
      <c r="F15" s="16" t="s">
        <v>354</v>
      </c>
      <c r="G15" s="231">
        <f t="shared" si="0"/>
        <v>12.959999999999997</v>
      </c>
      <c r="H15" s="58"/>
      <c r="I15" s="3">
        <v>1.44</v>
      </c>
      <c r="J15" s="3">
        <v>1.44</v>
      </c>
      <c r="K15" s="3">
        <v>1.44</v>
      </c>
      <c r="L15" s="3">
        <v>1.44</v>
      </c>
      <c r="M15" s="3">
        <v>1.44</v>
      </c>
      <c r="N15" s="3">
        <v>1.44</v>
      </c>
      <c r="O15" s="3">
        <v>1.44</v>
      </c>
      <c r="P15" s="3">
        <v>1.44</v>
      </c>
      <c r="Q15" s="3">
        <v>1.44</v>
      </c>
    </row>
    <row r="16" spans="1:18" ht="31.5" x14ac:dyDescent="0.25">
      <c r="A16" s="7" t="s">
        <v>590</v>
      </c>
      <c r="B16" s="7" t="s">
        <v>43</v>
      </c>
      <c r="C16" s="83">
        <v>105</v>
      </c>
      <c r="D16" s="16" t="s">
        <v>743</v>
      </c>
      <c r="E16" s="11" t="s">
        <v>406</v>
      </c>
      <c r="F16" s="16" t="s">
        <v>402</v>
      </c>
      <c r="G16" s="231">
        <f t="shared" si="0"/>
        <v>7.5059999999999985</v>
      </c>
      <c r="H16" s="3"/>
      <c r="I16" s="3">
        <v>0.83399999999999996</v>
      </c>
      <c r="J16" s="3">
        <v>0.83399999999999996</v>
      </c>
      <c r="K16" s="3">
        <v>0.83399999999999996</v>
      </c>
      <c r="L16" s="3">
        <v>0.83399999999999996</v>
      </c>
      <c r="M16" s="3">
        <v>0.83399999999999996</v>
      </c>
      <c r="N16" s="3">
        <v>0.83399999999999996</v>
      </c>
      <c r="O16" s="3">
        <v>0.83399999999999996</v>
      </c>
      <c r="P16" s="3">
        <v>0.83399999999999996</v>
      </c>
      <c r="Q16" s="3">
        <v>0.83399999999999996</v>
      </c>
    </row>
    <row r="17" spans="1:18" ht="31.5" x14ac:dyDescent="0.25">
      <c r="A17" s="7" t="s">
        <v>590</v>
      </c>
      <c r="B17" s="7" t="s">
        <v>43</v>
      </c>
      <c r="C17" s="83">
        <v>105</v>
      </c>
      <c r="D17" s="16" t="s">
        <v>743</v>
      </c>
      <c r="E17" s="11" t="s">
        <v>406</v>
      </c>
      <c r="F17" s="16" t="s">
        <v>151</v>
      </c>
      <c r="G17" s="231">
        <f t="shared" si="0"/>
        <v>2.4300000000000002</v>
      </c>
      <c r="H17" s="3"/>
      <c r="I17" s="3">
        <v>0.27</v>
      </c>
      <c r="J17" s="3">
        <v>0.27</v>
      </c>
      <c r="K17" s="3">
        <v>0.27</v>
      </c>
      <c r="L17" s="3">
        <v>0.27</v>
      </c>
      <c r="M17" s="3">
        <v>0.27</v>
      </c>
      <c r="N17" s="3">
        <v>0.27</v>
      </c>
      <c r="O17" s="3">
        <v>0.27</v>
      </c>
      <c r="P17" s="3">
        <v>0.27</v>
      </c>
      <c r="Q17" s="3">
        <v>0.27</v>
      </c>
    </row>
    <row r="18" spans="1:18" ht="45" x14ac:dyDescent="0.25">
      <c r="A18" s="7" t="s">
        <v>590</v>
      </c>
      <c r="B18" s="7" t="s">
        <v>43</v>
      </c>
      <c r="C18" s="83">
        <v>106</v>
      </c>
      <c r="D18" s="16" t="s">
        <v>745</v>
      </c>
      <c r="E18" s="11" t="s">
        <v>407</v>
      </c>
      <c r="F18" s="16" t="s">
        <v>150</v>
      </c>
      <c r="G18" s="231">
        <f t="shared" si="0"/>
        <v>5.77</v>
      </c>
      <c r="H18" s="3">
        <v>5.77</v>
      </c>
      <c r="I18" s="3"/>
      <c r="J18" s="3"/>
      <c r="K18" s="3"/>
      <c r="L18" s="3"/>
      <c r="M18" s="3"/>
      <c r="N18" s="3"/>
      <c r="O18" s="3"/>
      <c r="P18" s="3"/>
      <c r="Q18" s="3"/>
    </row>
    <row r="19" spans="1:18" s="32" customFormat="1" ht="26.25" customHeight="1" x14ac:dyDescent="0.25">
      <c r="A19" s="14"/>
      <c r="B19" s="14"/>
      <c r="C19" s="14"/>
      <c r="D19" s="31"/>
      <c r="E19" s="31"/>
      <c r="F19" s="31" t="s">
        <v>20</v>
      </c>
      <c r="G19" s="29">
        <f t="shared" ref="G19:Q19" si="1">SUM(G4:G18)</f>
        <v>70.543000000000006</v>
      </c>
      <c r="H19" s="29">
        <f t="shared" si="1"/>
        <v>24.76</v>
      </c>
      <c r="I19" s="29">
        <f t="shared" si="1"/>
        <v>5.0869999999999997</v>
      </c>
      <c r="J19" s="29">
        <f t="shared" si="1"/>
        <v>5.0869999999999997</v>
      </c>
      <c r="K19" s="29">
        <f t="shared" si="1"/>
        <v>5.0869999999999997</v>
      </c>
      <c r="L19" s="29">
        <f t="shared" si="1"/>
        <v>5.0869999999999997</v>
      </c>
      <c r="M19" s="29">
        <f t="shared" si="1"/>
        <v>5.0869999999999997</v>
      </c>
      <c r="N19" s="29">
        <f t="shared" si="1"/>
        <v>5.0869999999999997</v>
      </c>
      <c r="O19" s="29">
        <f t="shared" si="1"/>
        <v>5.0869999999999997</v>
      </c>
      <c r="P19" s="29">
        <f t="shared" si="1"/>
        <v>5.0869999999999997</v>
      </c>
      <c r="Q19" s="29">
        <f t="shared" si="1"/>
        <v>5.0869999999999997</v>
      </c>
      <c r="R19" s="22"/>
    </row>
  </sheetData>
  <autoFilter ref="A3:Q19" xr:uid="{00000000-0009-0000-0000-00001B000000}">
    <sortState xmlns:xlrd2="http://schemas.microsoft.com/office/spreadsheetml/2017/richdata2" ref="A4:Q19">
      <sortCondition ref="C3:C19"/>
    </sortState>
  </autoFilter>
  <mergeCells count="1">
    <mergeCell ref="A1:G1"/>
  </mergeCells>
  <pageMargins left="0.23622047244094491" right="0.23622047244094491" top="9.8425196850393706E-2" bottom="9.8425196850393706E-2" header="0.31496062992125984" footer="0.31496062992125984"/>
  <pageSetup paperSize="9" scale="67" orientation="landscape" horizontalDpi="4294967292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63B7-A1A3-4751-BCE0-79A4246D85C9}">
  <sheetPr>
    <tabColor rgb="FFFF0000"/>
    <pageSetUpPr fitToPage="1"/>
  </sheetPr>
  <dimension ref="A1:R34"/>
  <sheetViews>
    <sheetView view="pageBreakPreview" topLeftCell="E1" zoomScale="85" zoomScaleSheetLayoutView="85" workbookViewId="0">
      <pane ySplit="2" topLeftCell="A3" activePane="bottomLeft" state="frozen"/>
      <selection pane="bottomLeft" activeCell="Y29" sqref="Y29"/>
    </sheetView>
  </sheetViews>
  <sheetFormatPr defaultColWidth="9.140625" defaultRowHeight="15.75" x14ac:dyDescent="0.25"/>
  <cols>
    <col min="1" max="1" width="7" style="217" customWidth="1"/>
    <col min="2" max="2" width="10" style="217" customWidth="1"/>
    <col min="3" max="3" width="6.140625" style="213" bestFit="1" customWidth="1"/>
    <col min="4" max="4" width="25.85546875" style="217" customWidth="1"/>
    <col min="5" max="5" width="44" style="217" customWidth="1"/>
    <col min="6" max="6" width="55.28515625" style="202" customWidth="1"/>
    <col min="7" max="7" width="16.7109375" style="212" customWidth="1"/>
    <col min="8" max="8" width="10.42578125" style="212" customWidth="1"/>
    <col min="9" max="10" width="11.28515625" style="212" customWidth="1"/>
    <col min="11" max="11" width="12.140625" style="212" customWidth="1"/>
    <col min="12" max="12" width="10.7109375" style="212" customWidth="1"/>
    <col min="13" max="13" width="12.7109375" style="212" customWidth="1"/>
    <col min="14" max="14" width="11.140625" style="212" customWidth="1"/>
    <col min="15" max="15" width="10.42578125" style="212" customWidth="1"/>
    <col min="16" max="16" width="10.28515625" style="212" customWidth="1"/>
    <col min="17" max="17" width="11.140625" style="212" customWidth="1"/>
    <col min="18" max="16384" width="9.140625" style="202"/>
  </cols>
  <sheetData>
    <row r="1" spans="1:18" ht="48" customHeight="1" x14ac:dyDescent="0.25">
      <c r="A1" s="353" t="s">
        <v>927</v>
      </c>
      <c r="B1" s="353"/>
      <c r="C1" s="353"/>
      <c r="D1" s="353"/>
      <c r="E1" s="353"/>
      <c r="F1" s="353"/>
      <c r="G1" s="353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8" s="205" customFormat="1" ht="55.5" customHeight="1" x14ac:dyDescent="0.25">
      <c r="A2" s="203" t="s">
        <v>0</v>
      </c>
      <c r="B2" s="200" t="s">
        <v>18</v>
      </c>
      <c r="C2" s="200" t="s">
        <v>17</v>
      </c>
      <c r="D2" s="200" t="s">
        <v>486</v>
      </c>
      <c r="E2" s="200" t="s">
        <v>487</v>
      </c>
      <c r="F2" s="200" t="s">
        <v>988</v>
      </c>
      <c r="G2" s="204" t="s">
        <v>836</v>
      </c>
      <c r="H2" s="204" t="s">
        <v>3</v>
      </c>
      <c r="I2" s="204" t="s">
        <v>154</v>
      </c>
      <c r="J2" s="204" t="s">
        <v>167</v>
      </c>
      <c r="K2" s="204" t="s">
        <v>6</v>
      </c>
      <c r="L2" s="204" t="s">
        <v>7</v>
      </c>
      <c r="M2" s="204" t="s">
        <v>8</v>
      </c>
      <c r="N2" s="204" t="s">
        <v>9</v>
      </c>
      <c r="O2" s="204" t="s">
        <v>10</v>
      </c>
      <c r="P2" s="204" t="s">
        <v>11</v>
      </c>
      <c r="Q2" s="204" t="s">
        <v>12</v>
      </c>
    </row>
    <row r="3" spans="1:18" s="205" customFormat="1" x14ac:dyDescent="0.25">
      <c r="A3" s="206"/>
      <c r="B3" s="200"/>
      <c r="C3" s="200"/>
      <c r="D3" s="200"/>
      <c r="E3" s="200"/>
      <c r="F3" s="200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8" ht="31.5" x14ac:dyDescent="0.25">
      <c r="A4" s="207" t="s">
        <v>489</v>
      </c>
      <c r="B4" s="208" t="s">
        <v>41</v>
      </c>
      <c r="C4" s="209">
        <v>107</v>
      </c>
      <c r="D4" s="210" t="s">
        <v>490</v>
      </c>
      <c r="E4" s="210" t="s">
        <v>493</v>
      </c>
      <c r="F4" s="210" t="s">
        <v>707</v>
      </c>
      <c r="G4" s="218">
        <f t="shared" ref="G4:G32" si="0">SUM(H4:Q4)</f>
        <v>24</v>
      </c>
      <c r="H4" s="211">
        <v>0</v>
      </c>
      <c r="I4" s="211">
        <v>3</v>
      </c>
      <c r="J4" s="211">
        <v>0</v>
      </c>
      <c r="K4" s="211">
        <v>3</v>
      </c>
      <c r="L4" s="211">
        <v>3</v>
      </c>
      <c r="M4" s="211">
        <v>3</v>
      </c>
      <c r="N4" s="211">
        <v>3</v>
      </c>
      <c r="O4" s="211">
        <v>3</v>
      </c>
      <c r="P4" s="211">
        <v>3</v>
      </c>
      <c r="Q4" s="211">
        <v>3</v>
      </c>
      <c r="R4" s="212"/>
    </row>
    <row r="5" spans="1:18" s="213" customFormat="1" x14ac:dyDescent="0.25">
      <c r="A5" s="207" t="s">
        <v>489</v>
      </c>
      <c r="B5" s="208" t="s">
        <v>41</v>
      </c>
      <c r="C5" s="209">
        <v>107</v>
      </c>
      <c r="D5" s="210" t="s">
        <v>490</v>
      </c>
      <c r="E5" s="210" t="s">
        <v>500</v>
      </c>
      <c r="F5" s="210" t="s">
        <v>155</v>
      </c>
      <c r="G5" s="218">
        <f t="shared" si="0"/>
        <v>1.2</v>
      </c>
      <c r="H5" s="211">
        <v>0</v>
      </c>
      <c r="I5" s="211">
        <v>0.15</v>
      </c>
      <c r="J5" s="211">
        <v>0</v>
      </c>
      <c r="K5" s="211">
        <v>0.15</v>
      </c>
      <c r="L5" s="211">
        <v>0.15</v>
      </c>
      <c r="M5" s="211">
        <v>0.15</v>
      </c>
      <c r="N5" s="211">
        <v>0.15</v>
      </c>
      <c r="O5" s="211">
        <v>0.15</v>
      </c>
      <c r="P5" s="211">
        <v>0.15</v>
      </c>
      <c r="Q5" s="211">
        <v>0.15</v>
      </c>
      <c r="R5" s="212"/>
    </row>
    <row r="6" spans="1:18" ht="31.5" x14ac:dyDescent="0.25">
      <c r="A6" s="207" t="s">
        <v>489</v>
      </c>
      <c r="B6" s="208" t="s">
        <v>41</v>
      </c>
      <c r="C6" s="209">
        <v>108</v>
      </c>
      <c r="D6" s="210" t="s">
        <v>492</v>
      </c>
      <c r="E6" s="210" t="s">
        <v>493</v>
      </c>
      <c r="F6" s="210" t="s">
        <v>157</v>
      </c>
      <c r="G6" s="218">
        <f t="shared" si="0"/>
        <v>1.65</v>
      </c>
      <c r="H6" s="211">
        <v>0</v>
      </c>
      <c r="I6" s="211">
        <v>0.6</v>
      </c>
      <c r="J6" s="211">
        <v>0</v>
      </c>
      <c r="K6" s="211">
        <v>0.15</v>
      </c>
      <c r="L6" s="211">
        <v>0.15</v>
      </c>
      <c r="M6" s="211">
        <v>0.15</v>
      </c>
      <c r="N6" s="211">
        <v>0.3</v>
      </c>
      <c r="O6" s="211">
        <v>0.15</v>
      </c>
      <c r="P6" s="211">
        <v>0</v>
      </c>
      <c r="Q6" s="211">
        <v>0.15</v>
      </c>
      <c r="R6" s="212"/>
    </row>
    <row r="7" spans="1:18" x14ac:dyDescent="0.25">
      <c r="A7" s="207" t="s">
        <v>489</v>
      </c>
      <c r="B7" s="208" t="s">
        <v>41</v>
      </c>
      <c r="C7" s="209">
        <v>108</v>
      </c>
      <c r="D7" s="210" t="s">
        <v>492</v>
      </c>
      <c r="E7" s="210" t="s">
        <v>500</v>
      </c>
      <c r="F7" s="210" t="s">
        <v>156</v>
      </c>
      <c r="G7" s="218">
        <f>SUM(H7:Q7)</f>
        <v>0.54999999999999993</v>
      </c>
      <c r="H7" s="211">
        <v>0</v>
      </c>
      <c r="I7" s="211">
        <v>0.2</v>
      </c>
      <c r="J7" s="211">
        <v>0</v>
      </c>
      <c r="K7" s="211">
        <v>0.05</v>
      </c>
      <c r="L7" s="211">
        <v>0.05</v>
      </c>
      <c r="M7" s="211">
        <v>0.05</v>
      </c>
      <c r="N7" s="211">
        <v>0.1</v>
      </c>
      <c r="O7" s="211">
        <v>0.05</v>
      </c>
      <c r="P7" s="211">
        <v>0</v>
      </c>
      <c r="Q7" s="211">
        <v>0.05</v>
      </c>
      <c r="R7" s="212"/>
    </row>
    <row r="8" spans="1:18" ht="47.25" x14ac:dyDescent="0.25">
      <c r="A8" s="207" t="s">
        <v>489</v>
      </c>
      <c r="B8" s="208" t="s">
        <v>41</v>
      </c>
      <c r="C8" s="209">
        <v>109</v>
      </c>
      <c r="D8" s="210" t="s">
        <v>494</v>
      </c>
      <c r="E8" s="210" t="s">
        <v>493</v>
      </c>
      <c r="F8" s="210" t="s">
        <v>708</v>
      </c>
      <c r="G8" s="218">
        <f t="shared" si="0"/>
        <v>1.5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1.5</v>
      </c>
      <c r="O8" s="211">
        <v>0</v>
      </c>
      <c r="P8" s="211">
        <v>0</v>
      </c>
      <c r="Q8" s="211">
        <v>0</v>
      </c>
      <c r="R8" s="212"/>
    </row>
    <row r="9" spans="1:18" ht="31.5" x14ac:dyDescent="0.25">
      <c r="A9" s="207" t="s">
        <v>489</v>
      </c>
      <c r="B9" s="208" t="s">
        <v>41</v>
      </c>
      <c r="C9" s="209">
        <v>110</v>
      </c>
      <c r="D9" s="210" t="s">
        <v>495</v>
      </c>
      <c r="E9" s="210" t="s">
        <v>493</v>
      </c>
      <c r="F9" s="210" t="s">
        <v>709</v>
      </c>
      <c r="G9" s="218">
        <f t="shared" si="0"/>
        <v>13</v>
      </c>
      <c r="H9" s="211">
        <v>0</v>
      </c>
      <c r="I9" s="211">
        <v>0</v>
      </c>
      <c r="J9" s="211">
        <v>0</v>
      </c>
      <c r="K9" s="211">
        <v>6.5</v>
      </c>
      <c r="L9" s="211">
        <v>0</v>
      </c>
      <c r="M9" s="211">
        <v>0</v>
      </c>
      <c r="N9" s="211">
        <v>0</v>
      </c>
      <c r="O9" s="211">
        <v>6.5</v>
      </c>
      <c r="P9" s="211">
        <v>0</v>
      </c>
      <c r="Q9" s="211">
        <v>0</v>
      </c>
      <c r="R9" s="212"/>
    </row>
    <row r="10" spans="1:18" ht="31.5" x14ac:dyDescent="0.25">
      <c r="A10" s="207" t="s">
        <v>489</v>
      </c>
      <c r="B10" s="208" t="s">
        <v>41</v>
      </c>
      <c r="C10" s="209">
        <v>110</v>
      </c>
      <c r="D10" s="210" t="s">
        <v>495</v>
      </c>
      <c r="E10" s="210" t="s">
        <v>496</v>
      </c>
      <c r="F10" s="210" t="s">
        <v>497</v>
      </c>
      <c r="G10" s="218">
        <f t="shared" si="0"/>
        <v>3</v>
      </c>
      <c r="H10" s="214">
        <v>0</v>
      </c>
      <c r="I10" s="214">
        <v>0.65</v>
      </c>
      <c r="J10" s="211">
        <v>0</v>
      </c>
      <c r="K10" s="214">
        <v>0.6</v>
      </c>
      <c r="L10" s="214">
        <v>0.25</v>
      </c>
      <c r="M10" s="214">
        <v>0.25</v>
      </c>
      <c r="N10" s="214">
        <v>0.5</v>
      </c>
      <c r="O10" s="214">
        <v>0.3</v>
      </c>
      <c r="P10" s="214">
        <v>0.2</v>
      </c>
      <c r="Q10" s="214">
        <v>0.25</v>
      </c>
      <c r="R10" s="212"/>
    </row>
    <row r="11" spans="1:18" ht="31.5" x14ac:dyDescent="0.25">
      <c r="A11" s="207" t="s">
        <v>489</v>
      </c>
      <c r="B11" s="208" t="s">
        <v>41</v>
      </c>
      <c r="C11" s="209">
        <v>110</v>
      </c>
      <c r="D11" s="210" t="s">
        <v>495</v>
      </c>
      <c r="E11" s="210" t="s">
        <v>496</v>
      </c>
      <c r="F11" s="210" t="s">
        <v>158</v>
      </c>
      <c r="G11" s="218">
        <f t="shared" si="0"/>
        <v>18.500000000000004</v>
      </c>
      <c r="H11" s="214">
        <v>0</v>
      </c>
      <c r="I11" s="214">
        <v>4.7</v>
      </c>
      <c r="J11" s="211">
        <v>0</v>
      </c>
      <c r="K11" s="214">
        <v>2.95</v>
      </c>
      <c r="L11" s="214">
        <v>1.3</v>
      </c>
      <c r="M11" s="214">
        <v>1.85</v>
      </c>
      <c r="N11" s="214">
        <v>3.5</v>
      </c>
      <c r="O11" s="214">
        <v>1.65</v>
      </c>
      <c r="P11" s="214">
        <v>1.2</v>
      </c>
      <c r="Q11" s="214">
        <v>1.35</v>
      </c>
      <c r="R11" s="212"/>
    </row>
    <row r="12" spans="1:18" ht="31.5" x14ac:dyDescent="0.25">
      <c r="A12" s="207" t="s">
        <v>489</v>
      </c>
      <c r="B12" s="208" t="s">
        <v>41</v>
      </c>
      <c r="C12" s="209">
        <v>110</v>
      </c>
      <c r="D12" s="210" t="s">
        <v>495</v>
      </c>
      <c r="E12" s="210" t="s">
        <v>496</v>
      </c>
      <c r="F12" s="210" t="s">
        <v>498</v>
      </c>
      <c r="G12" s="218">
        <f t="shared" si="0"/>
        <v>2.4</v>
      </c>
      <c r="H12" s="214">
        <v>2.4</v>
      </c>
      <c r="I12" s="214">
        <v>0</v>
      </c>
      <c r="J12" s="211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214">
        <v>0</v>
      </c>
      <c r="R12" s="212"/>
    </row>
    <row r="13" spans="1:18" ht="63" x14ac:dyDescent="0.25">
      <c r="A13" s="207" t="s">
        <v>489</v>
      </c>
      <c r="B13" s="208" t="s">
        <v>41</v>
      </c>
      <c r="C13" s="209">
        <v>110</v>
      </c>
      <c r="D13" s="210" t="s">
        <v>495</v>
      </c>
      <c r="E13" s="210" t="s">
        <v>499</v>
      </c>
      <c r="F13" s="210" t="s">
        <v>650</v>
      </c>
      <c r="G13" s="218">
        <f t="shared" si="0"/>
        <v>6.58</v>
      </c>
      <c r="H13" s="211">
        <v>6.58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2"/>
    </row>
    <row r="14" spans="1:18" ht="31.5" x14ac:dyDescent="0.25">
      <c r="A14" s="207" t="s">
        <v>489</v>
      </c>
      <c r="B14" s="208" t="s">
        <v>41</v>
      </c>
      <c r="C14" s="209">
        <v>110</v>
      </c>
      <c r="D14" s="210" t="s">
        <v>495</v>
      </c>
      <c r="E14" s="210" t="s">
        <v>499</v>
      </c>
      <c r="F14" s="210" t="s">
        <v>160</v>
      </c>
      <c r="G14" s="218">
        <f t="shared" si="0"/>
        <v>4</v>
      </c>
      <c r="H14" s="214">
        <v>0</v>
      </c>
      <c r="I14" s="214">
        <v>0.5</v>
      </c>
      <c r="J14" s="211">
        <v>0</v>
      </c>
      <c r="K14" s="214">
        <v>0.5</v>
      </c>
      <c r="L14" s="214">
        <v>0.5</v>
      </c>
      <c r="M14" s="214">
        <v>0.5</v>
      </c>
      <c r="N14" s="214">
        <v>0.5</v>
      </c>
      <c r="O14" s="214">
        <v>0.5</v>
      </c>
      <c r="P14" s="214">
        <v>0.5</v>
      </c>
      <c r="Q14" s="214">
        <v>0.5</v>
      </c>
      <c r="R14" s="212"/>
    </row>
    <row r="15" spans="1:18" ht="31.5" x14ac:dyDescent="0.25">
      <c r="A15" s="207" t="s">
        <v>489</v>
      </c>
      <c r="B15" s="208" t="s">
        <v>41</v>
      </c>
      <c r="C15" s="209">
        <v>110</v>
      </c>
      <c r="D15" s="210" t="s">
        <v>495</v>
      </c>
      <c r="E15" s="210" t="s">
        <v>499</v>
      </c>
      <c r="F15" s="210" t="s">
        <v>164</v>
      </c>
      <c r="G15" s="218">
        <f t="shared" si="0"/>
        <v>6</v>
      </c>
      <c r="H15" s="211">
        <v>6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2"/>
    </row>
    <row r="16" spans="1:18" ht="31.5" x14ac:dyDescent="0.25">
      <c r="A16" s="207" t="s">
        <v>489</v>
      </c>
      <c r="B16" s="208" t="s">
        <v>41</v>
      </c>
      <c r="C16" s="209">
        <v>110</v>
      </c>
      <c r="D16" s="210" t="s">
        <v>495</v>
      </c>
      <c r="E16" s="210" t="s">
        <v>500</v>
      </c>
      <c r="F16" s="210" t="s">
        <v>710</v>
      </c>
      <c r="G16" s="218">
        <f t="shared" si="0"/>
        <v>3</v>
      </c>
      <c r="H16" s="214">
        <v>0</v>
      </c>
      <c r="I16" s="214">
        <v>0.65</v>
      </c>
      <c r="J16" s="211">
        <v>0</v>
      </c>
      <c r="K16" s="214">
        <v>0.6</v>
      </c>
      <c r="L16" s="214">
        <v>0.25</v>
      </c>
      <c r="M16" s="214">
        <v>0.25</v>
      </c>
      <c r="N16" s="214">
        <v>0.5</v>
      </c>
      <c r="O16" s="214">
        <v>0.3</v>
      </c>
      <c r="P16" s="214">
        <v>0.2</v>
      </c>
      <c r="Q16" s="214">
        <v>0.25</v>
      </c>
      <c r="R16" s="212"/>
    </row>
    <row r="17" spans="1:18" ht="31.5" x14ac:dyDescent="0.25">
      <c r="A17" s="207" t="s">
        <v>489</v>
      </c>
      <c r="B17" s="208" t="s">
        <v>41</v>
      </c>
      <c r="C17" s="209">
        <v>110</v>
      </c>
      <c r="D17" s="210" t="s">
        <v>495</v>
      </c>
      <c r="E17" s="210" t="s">
        <v>500</v>
      </c>
      <c r="F17" s="210" t="s">
        <v>711</v>
      </c>
      <c r="G17" s="218">
        <f t="shared" si="0"/>
        <v>3.6999999999999997</v>
      </c>
      <c r="H17" s="211">
        <v>0</v>
      </c>
      <c r="I17" s="211">
        <v>0.94</v>
      </c>
      <c r="J17" s="211">
        <v>0</v>
      </c>
      <c r="K17" s="211">
        <v>0.59</v>
      </c>
      <c r="L17" s="211">
        <v>0.26</v>
      </c>
      <c r="M17" s="211">
        <v>0.37</v>
      </c>
      <c r="N17" s="211">
        <v>0.7</v>
      </c>
      <c r="O17" s="211">
        <v>0.33</v>
      </c>
      <c r="P17" s="211">
        <v>0.24</v>
      </c>
      <c r="Q17" s="211">
        <v>0.27</v>
      </c>
      <c r="R17" s="212"/>
    </row>
    <row r="18" spans="1:18" ht="31.5" x14ac:dyDescent="0.25">
      <c r="A18" s="207" t="s">
        <v>489</v>
      </c>
      <c r="B18" s="208" t="s">
        <v>41</v>
      </c>
      <c r="C18" s="209">
        <v>110</v>
      </c>
      <c r="D18" s="210" t="s">
        <v>495</v>
      </c>
      <c r="E18" s="210" t="s">
        <v>401</v>
      </c>
      <c r="F18" s="210" t="s">
        <v>159</v>
      </c>
      <c r="G18" s="218">
        <f t="shared" si="0"/>
        <v>3.55</v>
      </c>
      <c r="H18" s="211">
        <v>3.55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2"/>
    </row>
    <row r="19" spans="1:18" ht="31.5" x14ac:dyDescent="0.25">
      <c r="A19" s="207" t="s">
        <v>489</v>
      </c>
      <c r="B19" s="208" t="s">
        <v>41</v>
      </c>
      <c r="C19" s="209">
        <v>110</v>
      </c>
      <c r="D19" s="210" t="s">
        <v>495</v>
      </c>
      <c r="E19" s="210" t="s">
        <v>401</v>
      </c>
      <c r="F19" s="210" t="s">
        <v>501</v>
      </c>
      <c r="G19" s="218">
        <f t="shared" si="0"/>
        <v>2</v>
      </c>
      <c r="H19" s="211">
        <v>0</v>
      </c>
      <c r="I19" s="211">
        <v>0.25</v>
      </c>
      <c r="J19" s="211">
        <v>0</v>
      </c>
      <c r="K19" s="211">
        <v>0.25</v>
      </c>
      <c r="L19" s="211">
        <v>0.25</v>
      </c>
      <c r="M19" s="211">
        <v>0.25</v>
      </c>
      <c r="N19" s="211">
        <v>0.25</v>
      </c>
      <c r="O19" s="211">
        <v>0.25</v>
      </c>
      <c r="P19" s="211">
        <v>0.25</v>
      </c>
      <c r="Q19" s="211">
        <v>0.25</v>
      </c>
      <c r="R19" s="212"/>
    </row>
    <row r="20" spans="1:18" ht="31.5" x14ac:dyDescent="0.25">
      <c r="A20" s="207" t="s">
        <v>489</v>
      </c>
      <c r="B20" s="208" t="s">
        <v>41</v>
      </c>
      <c r="C20" s="209">
        <v>110</v>
      </c>
      <c r="D20" s="210" t="s">
        <v>495</v>
      </c>
      <c r="E20" s="210" t="s">
        <v>401</v>
      </c>
      <c r="F20" s="210" t="s">
        <v>165</v>
      </c>
      <c r="G20" s="218">
        <f t="shared" si="0"/>
        <v>2</v>
      </c>
      <c r="H20" s="211">
        <v>2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2"/>
    </row>
    <row r="21" spans="1:18" ht="31.5" x14ac:dyDescent="0.25">
      <c r="A21" s="207" t="s">
        <v>489</v>
      </c>
      <c r="B21" s="208" t="s">
        <v>41</v>
      </c>
      <c r="C21" s="209">
        <v>110</v>
      </c>
      <c r="D21" s="210" t="s">
        <v>495</v>
      </c>
      <c r="E21" s="210" t="s">
        <v>401</v>
      </c>
      <c r="F21" s="210" t="s">
        <v>502</v>
      </c>
      <c r="G21" s="218">
        <f t="shared" si="0"/>
        <v>0.89500000000000002</v>
      </c>
      <c r="H21" s="214">
        <v>0</v>
      </c>
      <c r="I21" s="214">
        <v>0.19</v>
      </c>
      <c r="J21" s="211">
        <v>0</v>
      </c>
      <c r="K21" s="214">
        <v>0.18</v>
      </c>
      <c r="L21" s="214">
        <v>7.4999999999999997E-2</v>
      </c>
      <c r="M21" s="214">
        <v>7.4999999999999997E-2</v>
      </c>
      <c r="N21" s="214">
        <v>0.15</v>
      </c>
      <c r="O21" s="215">
        <v>0.09</v>
      </c>
      <c r="P21" s="215">
        <v>0.06</v>
      </c>
      <c r="Q21" s="214">
        <v>7.4999999999999997E-2</v>
      </c>
      <c r="R21" s="212"/>
    </row>
    <row r="22" spans="1:18" ht="31.5" x14ac:dyDescent="0.25">
      <c r="A22" s="207" t="s">
        <v>489</v>
      </c>
      <c r="B22" s="208" t="s">
        <v>41</v>
      </c>
      <c r="C22" s="209">
        <v>110</v>
      </c>
      <c r="D22" s="210" t="s">
        <v>495</v>
      </c>
      <c r="E22" s="210" t="s">
        <v>401</v>
      </c>
      <c r="F22" s="210" t="s">
        <v>161</v>
      </c>
      <c r="G22" s="218">
        <f t="shared" si="0"/>
        <v>3.6999999999999997</v>
      </c>
      <c r="H22" s="211">
        <v>0</v>
      </c>
      <c r="I22" s="211">
        <v>0.94</v>
      </c>
      <c r="J22" s="211">
        <v>0</v>
      </c>
      <c r="K22" s="211">
        <v>0.59</v>
      </c>
      <c r="L22" s="211">
        <v>0.26</v>
      </c>
      <c r="M22" s="211">
        <v>0.37</v>
      </c>
      <c r="N22" s="211">
        <v>0.7</v>
      </c>
      <c r="O22" s="211">
        <v>0.33</v>
      </c>
      <c r="P22" s="211">
        <v>0.24</v>
      </c>
      <c r="Q22" s="211">
        <v>0.27</v>
      </c>
      <c r="R22" s="212"/>
    </row>
    <row r="23" spans="1:18" ht="31.5" x14ac:dyDescent="0.25">
      <c r="A23" s="207" t="s">
        <v>489</v>
      </c>
      <c r="B23" s="208" t="s">
        <v>41</v>
      </c>
      <c r="C23" s="209">
        <v>110</v>
      </c>
      <c r="D23" s="210" t="s">
        <v>495</v>
      </c>
      <c r="E23" s="210" t="s">
        <v>401</v>
      </c>
      <c r="F23" s="210" t="s">
        <v>166</v>
      </c>
      <c r="G23" s="218">
        <f t="shared" si="0"/>
        <v>1.7</v>
      </c>
      <c r="H23" s="211">
        <v>1.7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2"/>
    </row>
    <row r="24" spans="1:18" ht="31.5" x14ac:dyDescent="0.25">
      <c r="A24" s="207" t="s">
        <v>489</v>
      </c>
      <c r="B24" s="208" t="s">
        <v>41</v>
      </c>
      <c r="C24" s="209">
        <v>110</v>
      </c>
      <c r="D24" s="210" t="s">
        <v>495</v>
      </c>
      <c r="E24" s="210" t="s">
        <v>464</v>
      </c>
      <c r="F24" s="210" t="s">
        <v>503</v>
      </c>
      <c r="G24" s="218">
        <f t="shared" si="0"/>
        <v>3</v>
      </c>
      <c r="H24" s="211">
        <v>3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2"/>
    </row>
    <row r="25" spans="1:18" ht="31.5" x14ac:dyDescent="0.25">
      <c r="A25" s="207" t="s">
        <v>489</v>
      </c>
      <c r="B25" s="208" t="s">
        <v>41</v>
      </c>
      <c r="C25" s="209">
        <v>110</v>
      </c>
      <c r="D25" s="210" t="s">
        <v>495</v>
      </c>
      <c r="E25" s="210" t="s">
        <v>464</v>
      </c>
      <c r="F25" s="210" t="s">
        <v>162</v>
      </c>
      <c r="G25" s="218">
        <f t="shared" si="0"/>
        <v>4</v>
      </c>
      <c r="H25" s="211">
        <v>0</v>
      </c>
      <c r="I25" s="211">
        <v>0.5</v>
      </c>
      <c r="J25" s="211">
        <v>0</v>
      </c>
      <c r="K25" s="211">
        <v>0.5</v>
      </c>
      <c r="L25" s="211">
        <v>0.5</v>
      </c>
      <c r="M25" s="211">
        <v>0.5</v>
      </c>
      <c r="N25" s="211">
        <v>0.5</v>
      </c>
      <c r="O25" s="211">
        <v>0.5</v>
      </c>
      <c r="P25" s="211">
        <v>0.5</v>
      </c>
      <c r="Q25" s="211">
        <v>0.5</v>
      </c>
      <c r="R25" s="212"/>
    </row>
    <row r="26" spans="1:18" ht="31.5" x14ac:dyDescent="0.25">
      <c r="A26" s="207" t="s">
        <v>489</v>
      </c>
      <c r="B26" s="208" t="s">
        <v>41</v>
      </c>
      <c r="C26" s="209">
        <v>110</v>
      </c>
      <c r="D26" s="210" t="s">
        <v>495</v>
      </c>
      <c r="E26" s="210" t="s">
        <v>464</v>
      </c>
      <c r="F26" s="210" t="s">
        <v>504</v>
      </c>
      <c r="G26" s="218">
        <f t="shared" si="0"/>
        <v>1</v>
      </c>
      <c r="H26" s="211">
        <v>1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2"/>
    </row>
    <row r="27" spans="1:18" ht="31.5" x14ac:dyDescent="0.25">
      <c r="A27" s="207" t="s">
        <v>489</v>
      </c>
      <c r="B27" s="208" t="s">
        <v>41</v>
      </c>
      <c r="C27" s="209">
        <v>110</v>
      </c>
      <c r="D27" s="210" t="s">
        <v>495</v>
      </c>
      <c r="E27" s="210" t="s">
        <v>464</v>
      </c>
      <c r="F27" s="210" t="s">
        <v>162</v>
      </c>
      <c r="G27" s="218">
        <f t="shared" si="0"/>
        <v>4</v>
      </c>
      <c r="H27" s="211">
        <v>0</v>
      </c>
      <c r="I27" s="211">
        <v>0.5</v>
      </c>
      <c r="J27" s="211">
        <v>0</v>
      </c>
      <c r="K27" s="211">
        <v>0.5</v>
      </c>
      <c r="L27" s="211">
        <v>0.5</v>
      </c>
      <c r="M27" s="211">
        <v>0.5</v>
      </c>
      <c r="N27" s="211">
        <v>0.5</v>
      </c>
      <c r="O27" s="211">
        <v>0.5</v>
      </c>
      <c r="P27" s="211">
        <v>0.5</v>
      </c>
      <c r="Q27" s="211">
        <v>0.5</v>
      </c>
      <c r="R27" s="212"/>
    </row>
    <row r="28" spans="1:18" ht="31.5" x14ac:dyDescent="0.25">
      <c r="A28" s="207" t="s">
        <v>489</v>
      </c>
      <c r="B28" s="208" t="s">
        <v>41</v>
      </c>
      <c r="C28" s="209">
        <v>110</v>
      </c>
      <c r="D28" s="210" t="s">
        <v>495</v>
      </c>
      <c r="E28" s="210" t="s">
        <v>464</v>
      </c>
      <c r="F28" s="210" t="s">
        <v>505</v>
      </c>
      <c r="G28" s="218">
        <f t="shared" si="0"/>
        <v>1</v>
      </c>
      <c r="H28" s="211">
        <v>1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2"/>
    </row>
    <row r="29" spans="1:18" ht="31.5" x14ac:dyDescent="0.25">
      <c r="A29" s="207" t="s">
        <v>489</v>
      </c>
      <c r="B29" s="208" t="s">
        <v>41</v>
      </c>
      <c r="C29" s="209">
        <v>110</v>
      </c>
      <c r="D29" s="210" t="s">
        <v>495</v>
      </c>
      <c r="E29" s="210" t="s">
        <v>464</v>
      </c>
      <c r="F29" s="210" t="s">
        <v>162</v>
      </c>
      <c r="G29" s="218">
        <f t="shared" si="0"/>
        <v>4</v>
      </c>
      <c r="H29" s="211">
        <v>0</v>
      </c>
      <c r="I29" s="211">
        <v>0.5</v>
      </c>
      <c r="J29" s="211">
        <v>0</v>
      </c>
      <c r="K29" s="211">
        <v>0.5</v>
      </c>
      <c r="L29" s="211">
        <v>0.5</v>
      </c>
      <c r="M29" s="211">
        <v>0.5</v>
      </c>
      <c r="N29" s="211">
        <v>0.5</v>
      </c>
      <c r="O29" s="211">
        <v>0.5</v>
      </c>
      <c r="P29" s="211">
        <v>0.5</v>
      </c>
      <c r="Q29" s="211">
        <v>0.5</v>
      </c>
      <c r="R29" s="212"/>
    </row>
    <row r="30" spans="1:18" ht="31.5" x14ac:dyDescent="0.25">
      <c r="A30" s="207" t="s">
        <v>489</v>
      </c>
      <c r="B30" s="208" t="s">
        <v>41</v>
      </c>
      <c r="C30" s="209">
        <v>110</v>
      </c>
      <c r="D30" s="210" t="s">
        <v>495</v>
      </c>
      <c r="E30" s="210" t="s">
        <v>491</v>
      </c>
      <c r="F30" s="210" t="s">
        <v>163</v>
      </c>
      <c r="G30" s="218">
        <f t="shared" si="0"/>
        <v>5.2</v>
      </c>
      <c r="H30" s="211">
        <v>5.2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2"/>
    </row>
    <row r="31" spans="1:18" s="216" customFormat="1" ht="31.5" x14ac:dyDescent="0.25">
      <c r="A31" s="207" t="s">
        <v>489</v>
      </c>
      <c r="B31" s="208" t="s">
        <v>41</v>
      </c>
      <c r="C31" s="209">
        <v>110</v>
      </c>
      <c r="D31" s="210" t="s">
        <v>495</v>
      </c>
      <c r="E31" s="210" t="s">
        <v>493</v>
      </c>
      <c r="F31" s="210" t="s">
        <v>712</v>
      </c>
      <c r="G31" s="218">
        <f t="shared" si="0"/>
        <v>25.4</v>
      </c>
      <c r="H31" s="211">
        <v>0</v>
      </c>
      <c r="I31" s="211">
        <v>0</v>
      </c>
      <c r="J31" s="211">
        <v>0</v>
      </c>
      <c r="K31" s="211">
        <v>12.7</v>
      </c>
      <c r="L31" s="211">
        <v>0</v>
      </c>
      <c r="M31" s="211">
        <v>0</v>
      </c>
      <c r="N31" s="211">
        <v>0</v>
      </c>
      <c r="O31" s="211">
        <v>12.7</v>
      </c>
      <c r="P31" s="211">
        <v>0</v>
      </c>
      <c r="Q31" s="211">
        <v>0</v>
      </c>
      <c r="R31" s="212"/>
    </row>
    <row r="32" spans="1:18" ht="31.5" x14ac:dyDescent="0.25">
      <c r="A32" s="207" t="s">
        <v>489</v>
      </c>
      <c r="B32" s="208" t="s">
        <v>41</v>
      </c>
      <c r="C32" s="209">
        <v>110</v>
      </c>
      <c r="D32" s="210" t="s">
        <v>495</v>
      </c>
      <c r="E32" s="210" t="s">
        <v>496</v>
      </c>
      <c r="F32" s="210" t="s">
        <v>713</v>
      </c>
      <c r="G32" s="218">
        <f t="shared" si="0"/>
        <v>0</v>
      </c>
      <c r="H32" s="211">
        <v>0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2"/>
    </row>
    <row r="33" spans="1:18" ht="63" x14ac:dyDescent="0.25">
      <c r="A33" s="207" t="s">
        <v>489</v>
      </c>
      <c r="B33" s="208" t="s">
        <v>41</v>
      </c>
      <c r="C33" s="209">
        <v>110</v>
      </c>
      <c r="D33" s="210" t="s">
        <v>495</v>
      </c>
      <c r="E33" s="210" t="s">
        <v>928</v>
      </c>
      <c r="F33" s="210" t="s">
        <v>929</v>
      </c>
      <c r="G33" s="218">
        <f>SUM(H33:Q33)</f>
        <v>6.18</v>
      </c>
      <c r="H33" s="211">
        <v>6.18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2"/>
    </row>
    <row r="34" spans="1:18" s="205" customFormat="1" ht="31.5" customHeight="1" x14ac:dyDescent="0.25">
      <c r="A34" s="200"/>
      <c r="B34" s="200"/>
      <c r="C34" s="200"/>
      <c r="D34" s="200"/>
      <c r="E34" s="200"/>
      <c r="F34" s="200" t="s">
        <v>20</v>
      </c>
      <c r="G34" s="204">
        <f>SUM(G4:G33)</f>
        <v>156.70500000000001</v>
      </c>
      <c r="H34" s="204">
        <f t="shared" ref="H34:K34" si="1">SUM(H4:H33)</f>
        <v>38.61</v>
      </c>
      <c r="I34" s="204">
        <f t="shared" si="1"/>
        <v>14.27</v>
      </c>
      <c r="J34" s="204">
        <f t="shared" si="1"/>
        <v>0</v>
      </c>
      <c r="K34" s="204">
        <f t="shared" si="1"/>
        <v>30.31</v>
      </c>
      <c r="L34" s="204">
        <f t="shared" ref="L34:Q34" si="2">SUM(L4:L32)</f>
        <v>7.9949999999999992</v>
      </c>
      <c r="M34" s="204">
        <f t="shared" si="2"/>
        <v>8.7650000000000006</v>
      </c>
      <c r="N34" s="204">
        <f t="shared" si="2"/>
        <v>13.35</v>
      </c>
      <c r="O34" s="204">
        <f t="shared" si="2"/>
        <v>27.8</v>
      </c>
      <c r="P34" s="204">
        <f t="shared" si="2"/>
        <v>7.54</v>
      </c>
      <c r="Q34" s="204">
        <f t="shared" si="2"/>
        <v>8.0649999999999995</v>
      </c>
      <c r="R34" s="212"/>
    </row>
  </sheetData>
  <autoFilter ref="A3:Q34" xr:uid="{00000000-0009-0000-0000-00001C000000}">
    <sortState xmlns:xlrd2="http://schemas.microsoft.com/office/spreadsheetml/2017/richdata2" ref="A4:Q33">
      <sortCondition ref="C3:C32"/>
    </sortState>
  </autoFilter>
  <mergeCells count="1">
    <mergeCell ref="A1:G1"/>
  </mergeCells>
  <pageMargins left="0.7" right="0.7" top="0.42" bottom="0.39" header="0.3" footer="0.3"/>
  <pageSetup paperSize="5" scale="58" fitToHeight="8" orientation="landscape" horizontalDpi="4294967292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F8DD-8BBC-45CE-9046-2440A269D821}">
  <sheetPr>
    <tabColor rgb="FFFF0000"/>
    <pageSetUpPr fitToPage="1"/>
  </sheetPr>
  <dimension ref="A1:S8"/>
  <sheetViews>
    <sheetView view="pageBreakPreview" topLeftCell="C1" zoomScale="110" zoomScaleNormal="100" zoomScaleSheetLayoutView="140" workbookViewId="0">
      <selection activeCell="C5" sqref="C5"/>
    </sheetView>
  </sheetViews>
  <sheetFormatPr defaultColWidth="9.140625" defaultRowHeight="15" x14ac:dyDescent="0.25"/>
  <cols>
    <col min="1" max="1" width="11.7109375" style="27" customWidth="1"/>
    <col min="2" max="2" width="30.28515625" style="27" customWidth="1"/>
    <col min="3" max="3" width="5.140625" style="27" bestFit="1" customWidth="1"/>
    <col min="4" max="4" width="20.85546875" style="28" bestFit="1" customWidth="1"/>
    <col min="5" max="5" width="31.42578125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38" t="s">
        <v>870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ht="30" x14ac:dyDescent="0.25">
      <c r="A3" s="7" t="s">
        <v>762</v>
      </c>
      <c r="B3" s="7" t="s">
        <v>763</v>
      </c>
      <c r="C3" s="7">
        <v>112</v>
      </c>
      <c r="D3" s="11" t="s">
        <v>550</v>
      </c>
      <c r="E3" s="11" t="s">
        <v>397</v>
      </c>
      <c r="F3" s="10" t="s">
        <v>987</v>
      </c>
      <c r="G3" s="12">
        <f>SUM(H3:Q3)</f>
        <v>30</v>
      </c>
      <c r="H3" s="100">
        <v>0</v>
      </c>
      <c r="I3" s="100">
        <v>0</v>
      </c>
      <c r="J3" s="100">
        <v>0</v>
      </c>
      <c r="K3" s="100">
        <v>0</v>
      </c>
      <c r="L3" s="100">
        <v>0</v>
      </c>
      <c r="M3" s="100">
        <v>10</v>
      </c>
      <c r="N3" s="100">
        <v>0</v>
      </c>
      <c r="O3" s="100">
        <v>10</v>
      </c>
      <c r="P3" s="100">
        <v>10</v>
      </c>
      <c r="Q3" s="100">
        <v>0</v>
      </c>
    </row>
    <row r="4" spans="1:19" ht="30" x14ac:dyDescent="0.25">
      <c r="A4" s="7" t="s">
        <v>538</v>
      </c>
      <c r="B4" s="7" t="s">
        <v>763</v>
      </c>
      <c r="C4" s="7">
        <v>112</v>
      </c>
      <c r="D4" s="11" t="s">
        <v>550</v>
      </c>
      <c r="E4" s="11" t="s">
        <v>397</v>
      </c>
      <c r="F4" s="10" t="s">
        <v>986</v>
      </c>
      <c r="G4" s="12">
        <f>SUM(H4:Q4)</f>
        <v>1.6</v>
      </c>
      <c r="H4" s="100">
        <v>0</v>
      </c>
      <c r="I4" s="100">
        <v>0.4</v>
      </c>
      <c r="J4" s="100">
        <v>0</v>
      </c>
      <c r="K4" s="100">
        <v>0.4</v>
      </c>
      <c r="L4" s="100">
        <v>0.4</v>
      </c>
      <c r="M4" s="100">
        <v>0</v>
      </c>
      <c r="N4" s="100">
        <v>0.4</v>
      </c>
      <c r="O4" s="100">
        <v>0</v>
      </c>
      <c r="P4" s="100">
        <v>0</v>
      </c>
      <c r="Q4" s="100">
        <v>0</v>
      </c>
    </row>
    <row r="5" spans="1:19" ht="30" x14ac:dyDescent="0.25">
      <c r="A5" s="7" t="s">
        <v>762</v>
      </c>
      <c r="B5" s="7" t="s">
        <v>763</v>
      </c>
      <c r="C5" s="7">
        <v>112</v>
      </c>
      <c r="D5" s="11" t="s">
        <v>550</v>
      </c>
      <c r="E5" s="11" t="s">
        <v>399</v>
      </c>
      <c r="F5" s="10" t="s">
        <v>985</v>
      </c>
      <c r="G5" s="12">
        <f>SUM(H5:Q5)</f>
        <v>6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2</v>
      </c>
      <c r="N5" s="100">
        <v>0</v>
      </c>
      <c r="O5" s="100">
        <v>2</v>
      </c>
      <c r="P5" s="100">
        <v>2</v>
      </c>
      <c r="Q5" s="100">
        <v>0</v>
      </c>
    </row>
    <row r="6" spans="1:19" s="32" customFormat="1" ht="30" customHeight="1" x14ac:dyDescent="0.25">
      <c r="A6" s="14"/>
      <c r="B6" s="14"/>
      <c r="C6" s="14"/>
      <c r="D6" s="31"/>
      <c r="E6" s="31"/>
      <c r="F6" s="31" t="s">
        <v>15</v>
      </c>
      <c r="G6" s="12">
        <f t="shared" ref="G6:Q6" si="0">SUM(G3:G5)</f>
        <v>37.6</v>
      </c>
      <c r="H6" s="12">
        <f t="shared" si="0"/>
        <v>0</v>
      </c>
      <c r="I6" s="12">
        <f t="shared" si="0"/>
        <v>0.4</v>
      </c>
      <c r="J6" s="12">
        <f t="shared" si="0"/>
        <v>0</v>
      </c>
      <c r="K6" s="12">
        <f t="shared" si="0"/>
        <v>0.4</v>
      </c>
      <c r="L6" s="12">
        <f t="shared" si="0"/>
        <v>0.4</v>
      </c>
      <c r="M6" s="12">
        <f t="shared" si="0"/>
        <v>12</v>
      </c>
      <c r="N6" s="12">
        <f t="shared" si="0"/>
        <v>0.4</v>
      </c>
      <c r="O6" s="12">
        <f t="shared" si="0"/>
        <v>12</v>
      </c>
      <c r="P6" s="12">
        <f t="shared" si="0"/>
        <v>12</v>
      </c>
      <c r="Q6" s="12">
        <f t="shared" si="0"/>
        <v>0</v>
      </c>
      <c r="R6" s="22"/>
      <c r="S6" s="12"/>
    </row>
    <row r="7" spans="1:19" s="27" customFormat="1" x14ac:dyDescent="0.25">
      <c r="D7" s="28"/>
      <c r="E7" s="28"/>
      <c r="F7" s="23"/>
      <c r="G7" s="26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s="27" customFormat="1" x14ac:dyDescent="0.25">
      <c r="D8" s="28"/>
      <c r="E8" s="28"/>
      <c r="F8" s="23"/>
      <c r="G8" s="26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</sheetData>
  <mergeCells count="1">
    <mergeCell ref="A1:G1"/>
  </mergeCells>
  <phoneticPr fontId="15" type="noConversion"/>
  <pageMargins left="0.7" right="0.7" top="0.75" bottom="0.75" header="0.3" footer="0.3"/>
  <pageSetup paperSize="5" scale="58" fitToHeight="6" orientation="landscape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127"/>
  <sheetViews>
    <sheetView view="pageBreakPreview" zoomScale="85" zoomScaleNormal="100" zoomScaleSheetLayoutView="85" workbookViewId="0">
      <pane ySplit="3" topLeftCell="A121" activePane="bottomLeft" state="frozen"/>
      <selection pane="bottomLeft" activeCell="J135" sqref="J135"/>
    </sheetView>
  </sheetViews>
  <sheetFormatPr defaultColWidth="9.140625" defaultRowHeight="15.75" x14ac:dyDescent="0.25"/>
  <cols>
    <col min="1" max="1" width="10" style="123" customWidth="1"/>
    <col min="2" max="2" width="12.42578125" style="123" customWidth="1"/>
    <col min="3" max="3" width="5.42578125" style="123" bestFit="1" customWidth="1"/>
    <col min="4" max="4" width="35.140625" style="124" customWidth="1"/>
    <col min="5" max="5" width="29.42578125" style="124" customWidth="1"/>
    <col min="6" max="6" width="67.85546875" style="113" customWidth="1"/>
    <col min="7" max="7" width="12.140625" style="222" customWidth="1"/>
    <col min="8" max="17" width="12.140625" style="112" customWidth="1"/>
    <col min="18" max="18" width="6.7109375" style="112" customWidth="1"/>
    <col min="19" max="19" width="9.140625" style="112"/>
    <col min="20" max="16384" width="9.140625" style="113"/>
  </cols>
  <sheetData>
    <row r="1" spans="1:19" ht="24" customHeight="1" x14ac:dyDescent="0.25">
      <c r="A1" s="335" t="s">
        <v>846</v>
      </c>
      <c r="B1" s="335"/>
      <c r="C1" s="335"/>
      <c r="D1" s="335"/>
      <c r="E1" s="335"/>
      <c r="F1" s="335"/>
      <c r="G1" s="336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</row>
    <row r="2" spans="1:19" s="111" customFormat="1" ht="55.5" customHeight="1" x14ac:dyDescent="0.25">
      <c r="A2" s="114" t="s">
        <v>722</v>
      </c>
      <c r="B2" s="114" t="s">
        <v>18</v>
      </c>
      <c r="C2" s="114" t="s">
        <v>17</v>
      </c>
      <c r="D2" s="114" t="s">
        <v>486</v>
      </c>
      <c r="E2" s="114" t="s">
        <v>487</v>
      </c>
      <c r="F2" s="114" t="s">
        <v>988</v>
      </c>
      <c r="G2" s="116" t="s">
        <v>836</v>
      </c>
      <c r="H2" s="245" t="s">
        <v>3</v>
      </c>
      <c r="I2" s="246" t="s">
        <v>4</v>
      </c>
      <c r="J2" s="246" t="s">
        <v>5</v>
      </c>
      <c r="K2" s="246" t="s">
        <v>6</v>
      </c>
      <c r="L2" s="246" t="s">
        <v>7</v>
      </c>
      <c r="M2" s="246" t="s">
        <v>8</v>
      </c>
      <c r="N2" s="246" t="s">
        <v>9</v>
      </c>
      <c r="O2" s="246" t="s">
        <v>10</v>
      </c>
      <c r="P2" s="246" t="s">
        <v>11</v>
      </c>
      <c r="Q2" s="246" t="s">
        <v>12</v>
      </c>
      <c r="R2" s="117"/>
      <c r="S2" s="117"/>
    </row>
    <row r="3" spans="1:19" s="111" customFormat="1" x14ac:dyDescent="0.25">
      <c r="A3" s="114"/>
      <c r="B3" s="114"/>
      <c r="C3" s="114"/>
      <c r="D3" s="114"/>
      <c r="E3" s="114"/>
      <c r="F3" s="114"/>
      <c r="G3" s="116"/>
      <c r="H3" s="245"/>
      <c r="I3" s="246"/>
      <c r="J3" s="246"/>
      <c r="K3" s="246"/>
      <c r="L3" s="246"/>
      <c r="M3" s="246"/>
      <c r="N3" s="246"/>
      <c r="O3" s="246"/>
      <c r="P3" s="246"/>
      <c r="Q3" s="246"/>
      <c r="R3" s="117"/>
      <c r="S3" s="117"/>
    </row>
    <row r="4" spans="1:19" ht="33" customHeight="1" x14ac:dyDescent="0.25">
      <c r="A4" s="118" t="s">
        <v>718</v>
      </c>
      <c r="B4" s="118" t="s">
        <v>432</v>
      </c>
      <c r="C4" s="118">
        <v>1</v>
      </c>
      <c r="D4" s="119" t="s">
        <v>385</v>
      </c>
      <c r="E4" s="119" t="s">
        <v>371</v>
      </c>
      <c r="F4" s="221" t="s">
        <v>60</v>
      </c>
      <c r="G4" s="182">
        <f t="shared" ref="G4:G35" si="0">SUM(H4:Q4)</f>
        <v>10.308</v>
      </c>
      <c r="H4" s="92"/>
      <c r="I4" s="58">
        <v>1.476</v>
      </c>
      <c r="J4" s="58">
        <v>0.78</v>
      </c>
      <c r="K4" s="58">
        <v>1.224</v>
      </c>
      <c r="L4" s="58">
        <v>0.64800000000000002</v>
      </c>
      <c r="M4" s="58">
        <v>2.004</v>
      </c>
      <c r="N4" s="58">
        <v>1.5840000000000001</v>
      </c>
      <c r="O4" s="58">
        <v>0.996</v>
      </c>
      <c r="P4" s="58">
        <v>0.996</v>
      </c>
      <c r="Q4" s="58">
        <v>0.6</v>
      </c>
    </row>
    <row r="5" spans="1:19" ht="33" customHeight="1" x14ac:dyDescent="0.25">
      <c r="A5" s="118" t="s">
        <v>718</v>
      </c>
      <c r="B5" s="118" t="s">
        <v>432</v>
      </c>
      <c r="C5" s="118">
        <v>2</v>
      </c>
      <c r="D5" s="119" t="s">
        <v>386</v>
      </c>
      <c r="E5" s="119" t="s">
        <v>371</v>
      </c>
      <c r="F5" s="221" t="s">
        <v>61</v>
      </c>
      <c r="G5" s="182">
        <f t="shared" si="0"/>
        <v>0.24199999999999999</v>
      </c>
      <c r="H5" s="92"/>
      <c r="I5" s="58">
        <v>5.8000000000000003E-2</v>
      </c>
      <c r="J5" s="58">
        <v>3.2000000000000001E-2</v>
      </c>
      <c r="K5" s="58">
        <v>2.8000000000000001E-2</v>
      </c>
      <c r="L5" s="58">
        <v>1.7999999999999999E-2</v>
      </c>
      <c r="M5" s="58">
        <v>2.9000000000000001E-2</v>
      </c>
      <c r="N5" s="58">
        <v>3.2000000000000001E-2</v>
      </c>
      <c r="O5" s="58">
        <v>1.9E-2</v>
      </c>
      <c r="P5" s="58">
        <v>1.2999999999999999E-2</v>
      </c>
      <c r="Q5" s="58">
        <v>1.2999999999999999E-2</v>
      </c>
    </row>
    <row r="6" spans="1:19" ht="47.25" x14ac:dyDescent="0.25">
      <c r="A6" s="118" t="s">
        <v>718</v>
      </c>
      <c r="B6" s="118" t="s">
        <v>432</v>
      </c>
      <c r="C6" s="118">
        <v>2</v>
      </c>
      <c r="D6" s="119" t="s">
        <v>386</v>
      </c>
      <c r="E6" s="119" t="s">
        <v>397</v>
      </c>
      <c r="F6" s="221" t="s">
        <v>361</v>
      </c>
      <c r="G6" s="182">
        <f t="shared" si="0"/>
        <v>20</v>
      </c>
      <c r="H6" s="92"/>
      <c r="I6" s="58">
        <v>3</v>
      </c>
      <c r="J6" s="58">
        <v>2</v>
      </c>
      <c r="K6" s="58">
        <v>3</v>
      </c>
      <c r="L6" s="58">
        <v>2</v>
      </c>
      <c r="M6" s="58">
        <v>2</v>
      </c>
      <c r="N6" s="58">
        <v>2</v>
      </c>
      <c r="O6" s="58">
        <v>2</v>
      </c>
      <c r="P6" s="58">
        <v>2</v>
      </c>
      <c r="Q6" s="58">
        <v>2</v>
      </c>
    </row>
    <row r="7" spans="1:19" ht="47.25" x14ac:dyDescent="0.25">
      <c r="A7" s="118" t="s">
        <v>718</v>
      </c>
      <c r="B7" s="118" t="s">
        <v>432</v>
      </c>
      <c r="C7" s="118">
        <v>2</v>
      </c>
      <c r="D7" s="119" t="s">
        <v>386</v>
      </c>
      <c r="E7" s="119" t="s">
        <v>397</v>
      </c>
      <c r="F7" s="221" t="s">
        <v>362</v>
      </c>
      <c r="G7" s="182">
        <f t="shared" si="0"/>
        <v>7.4999999999999991</v>
      </c>
      <c r="H7" s="92"/>
      <c r="I7" s="58">
        <v>1.1000000000000001</v>
      </c>
      <c r="J7" s="58">
        <v>0.8</v>
      </c>
      <c r="K7" s="58">
        <v>0.8</v>
      </c>
      <c r="L7" s="58">
        <v>0.8</v>
      </c>
      <c r="M7" s="58">
        <v>0.8</v>
      </c>
      <c r="N7" s="58">
        <v>0.8</v>
      </c>
      <c r="O7" s="58">
        <v>0.8</v>
      </c>
      <c r="P7" s="58">
        <v>0.8</v>
      </c>
      <c r="Q7" s="58">
        <v>0.8</v>
      </c>
    </row>
    <row r="8" spans="1:19" ht="47.25" x14ac:dyDescent="0.25">
      <c r="A8" s="118" t="s">
        <v>718</v>
      </c>
      <c r="B8" s="118" t="s">
        <v>432</v>
      </c>
      <c r="C8" s="118">
        <v>2</v>
      </c>
      <c r="D8" s="119" t="s">
        <v>386</v>
      </c>
      <c r="E8" s="119" t="s">
        <v>397</v>
      </c>
      <c r="F8" s="221" t="s">
        <v>430</v>
      </c>
      <c r="G8" s="182">
        <f t="shared" si="0"/>
        <v>15.559999999999997</v>
      </c>
      <c r="H8" s="92"/>
      <c r="I8" s="58">
        <v>2.76</v>
      </c>
      <c r="J8" s="58">
        <v>1.6</v>
      </c>
      <c r="K8" s="58">
        <v>1.6</v>
      </c>
      <c r="L8" s="58">
        <v>1.6</v>
      </c>
      <c r="M8" s="58">
        <v>1.6</v>
      </c>
      <c r="N8" s="58">
        <v>1.6</v>
      </c>
      <c r="O8" s="58">
        <v>1.6</v>
      </c>
      <c r="P8" s="58">
        <v>1.6</v>
      </c>
      <c r="Q8" s="58">
        <v>1.6</v>
      </c>
    </row>
    <row r="9" spans="1:19" ht="33" customHeight="1" x14ac:dyDescent="0.25">
      <c r="A9" s="118" t="s">
        <v>718</v>
      </c>
      <c r="B9" s="118" t="s">
        <v>432</v>
      </c>
      <c r="C9" s="118">
        <v>2</v>
      </c>
      <c r="D9" s="119" t="s">
        <v>386</v>
      </c>
      <c r="E9" s="119" t="s">
        <v>118</v>
      </c>
      <c r="F9" s="221" t="s">
        <v>251</v>
      </c>
      <c r="G9" s="182">
        <f t="shared" si="0"/>
        <v>97.471199999999982</v>
      </c>
      <c r="H9" s="92"/>
      <c r="I9" s="58">
        <v>23.027000000000001</v>
      </c>
      <c r="J9" s="58">
        <v>14.417999999999999</v>
      </c>
      <c r="K9" s="58">
        <v>10.917</v>
      </c>
      <c r="L9" s="58">
        <v>7.1002000000000001</v>
      </c>
      <c r="M9" s="58">
        <v>11.353</v>
      </c>
      <c r="N9" s="58">
        <v>12.576000000000001</v>
      </c>
      <c r="O9" s="58">
        <v>7.6420000000000003</v>
      </c>
      <c r="P9" s="58">
        <v>5.3019999999999996</v>
      </c>
      <c r="Q9" s="58">
        <v>5.1360000000000001</v>
      </c>
    </row>
    <row r="10" spans="1:19" ht="33" customHeight="1" x14ac:dyDescent="0.25">
      <c r="A10" s="118" t="s">
        <v>718</v>
      </c>
      <c r="B10" s="118" t="s">
        <v>432</v>
      </c>
      <c r="C10" s="118">
        <v>3</v>
      </c>
      <c r="D10" s="119" t="s">
        <v>379</v>
      </c>
      <c r="E10" s="119" t="s">
        <v>396</v>
      </c>
      <c r="F10" s="221" t="s">
        <v>47</v>
      </c>
      <c r="G10" s="182">
        <f t="shared" si="0"/>
        <v>85.539999999999992</v>
      </c>
      <c r="H10" s="92"/>
      <c r="I10" s="58">
        <v>16.239999999999998</v>
      </c>
      <c r="J10" s="58">
        <v>7.28</v>
      </c>
      <c r="K10" s="58">
        <v>12.81</v>
      </c>
      <c r="L10" s="58">
        <v>8.33</v>
      </c>
      <c r="M10" s="58">
        <v>13.3</v>
      </c>
      <c r="N10" s="58">
        <v>6.37</v>
      </c>
      <c r="O10" s="58">
        <v>8.9600000000000009</v>
      </c>
      <c r="P10" s="58">
        <v>6.23</v>
      </c>
      <c r="Q10" s="58">
        <v>6.02</v>
      </c>
    </row>
    <row r="11" spans="1:19" ht="33" customHeight="1" x14ac:dyDescent="0.25">
      <c r="A11" s="118" t="s">
        <v>718</v>
      </c>
      <c r="B11" s="118" t="s">
        <v>432</v>
      </c>
      <c r="C11" s="118">
        <v>3</v>
      </c>
      <c r="D11" s="119" t="s">
        <v>379</v>
      </c>
      <c r="E11" s="119" t="s">
        <v>396</v>
      </c>
      <c r="F11" s="221" t="s">
        <v>48</v>
      </c>
      <c r="G11" s="182">
        <f t="shared" si="0"/>
        <v>24.72</v>
      </c>
      <c r="H11" s="92"/>
      <c r="I11" s="58">
        <v>9.24</v>
      </c>
      <c r="J11" s="58">
        <v>8.2799999999999994</v>
      </c>
      <c r="K11" s="58"/>
      <c r="L11" s="58"/>
      <c r="M11" s="58"/>
      <c r="N11" s="58">
        <v>7.2</v>
      </c>
      <c r="O11" s="58"/>
      <c r="P11" s="58"/>
      <c r="Q11" s="58"/>
    </row>
    <row r="12" spans="1:19" ht="33" customHeight="1" x14ac:dyDescent="0.25">
      <c r="A12" s="118" t="s">
        <v>718</v>
      </c>
      <c r="B12" s="118" t="s">
        <v>432</v>
      </c>
      <c r="C12" s="118">
        <v>3</v>
      </c>
      <c r="D12" s="119" t="s">
        <v>379</v>
      </c>
      <c r="E12" s="119" t="s">
        <v>398</v>
      </c>
      <c r="F12" s="221" t="s">
        <v>62</v>
      </c>
      <c r="G12" s="182">
        <f t="shared" si="0"/>
        <v>73.319999999999993</v>
      </c>
      <c r="H12" s="92"/>
      <c r="I12" s="58">
        <v>13.92</v>
      </c>
      <c r="J12" s="58">
        <v>6.24</v>
      </c>
      <c r="K12" s="58">
        <v>10.98</v>
      </c>
      <c r="L12" s="58">
        <v>7.14</v>
      </c>
      <c r="M12" s="58">
        <v>11.4</v>
      </c>
      <c r="N12" s="58">
        <v>5.46</v>
      </c>
      <c r="O12" s="58">
        <v>7.68</v>
      </c>
      <c r="P12" s="58">
        <v>5.34</v>
      </c>
      <c r="Q12" s="58">
        <v>5.16</v>
      </c>
    </row>
    <row r="13" spans="1:19" ht="33" customHeight="1" x14ac:dyDescent="0.25">
      <c r="A13" s="118" t="s">
        <v>718</v>
      </c>
      <c r="B13" s="118" t="s">
        <v>432</v>
      </c>
      <c r="C13" s="118">
        <v>3</v>
      </c>
      <c r="D13" s="119" t="s">
        <v>379</v>
      </c>
      <c r="E13" s="119" t="s">
        <v>398</v>
      </c>
      <c r="F13" s="221" t="s">
        <v>63</v>
      </c>
      <c r="G13" s="182">
        <f t="shared" si="0"/>
        <v>16.48</v>
      </c>
      <c r="H13" s="92"/>
      <c r="I13" s="58">
        <v>6.16</v>
      </c>
      <c r="J13" s="58">
        <v>5.52</v>
      </c>
      <c r="K13" s="58"/>
      <c r="L13" s="58"/>
      <c r="M13" s="58"/>
      <c r="N13" s="58">
        <v>4.8</v>
      </c>
      <c r="O13" s="58"/>
      <c r="P13" s="58"/>
      <c r="Q13" s="58"/>
    </row>
    <row r="14" spans="1:19" ht="33" customHeight="1" x14ac:dyDescent="0.25">
      <c r="A14" s="118" t="s">
        <v>718</v>
      </c>
      <c r="B14" s="118" t="s">
        <v>432</v>
      </c>
      <c r="C14" s="118">
        <v>3</v>
      </c>
      <c r="D14" s="119" t="s">
        <v>379</v>
      </c>
      <c r="E14" s="119" t="s">
        <v>564</v>
      </c>
      <c r="F14" s="221" t="s">
        <v>94</v>
      </c>
      <c r="G14" s="272">
        <f t="shared" si="0"/>
        <v>0</v>
      </c>
      <c r="H14" s="92"/>
      <c r="I14" s="58"/>
      <c r="J14" s="58"/>
      <c r="K14" s="58"/>
      <c r="L14" s="58"/>
      <c r="M14" s="58"/>
      <c r="N14" s="58"/>
      <c r="O14" s="58"/>
      <c r="P14" s="58"/>
      <c r="Q14" s="58"/>
    </row>
    <row r="15" spans="1:19" ht="33" customHeight="1" x14ac:dyDescent="0.25">
      <c r="A15" s="118" t="s">
        <v>718</v>
      </c>
      <c r="B15" s="118" t="s">
        <v>432</v>
      </c>
      <c r="C15" s="118">
        <v>4</v>
      </c>
      <c r="D15" s="119" t="s">
        <v>370</v>
      </c>
      <c r="E15" s="119" t="s">
        <v>371</v>
      </c>
      <c r="F15" s="221" t="s">
        <v>44</v>
      </c>
      <c r="G15" s="182">
        <f t="shared" si="0"/>
        <v>34.313999999999993</v>
      </c>
      <c r="H15" s="92"/>
      <c r="I15" s="58">
        <v>8.1059999999999999</v>
      </c>
      <c r="J15" s="58">
        <v>5.0759999999999996</v>
      </c>
      <c r="K15" s="58">
        <v>3.8460000000000001</v>
      </c>
      <c r="L15" s="58">
        <v>2.4990000000000001</v>
      </c>
      <c r="M15" s="58">
        <v>3.996</v>
      </c>
      <c r="N15" s="58">
        <v>4.4279999999999999</v>
      </c>
      <c r="O15" s="58">
        <v>2.6909999999999998</v>
      </c>
      <c r="P15" s="58">
        <v>1.8660000000000001</v>
      </c>
      <c r="Q15" s="58">
        <v>1.806</v>
      </c>
    </row>
    <row r="16" spans="1:19" ht="33" customHeight="1" x14ac:dyDescent="0.25">
      <c r="A16" s="118" t="s">
        <v>718</v>
      </c>
      <c r="B16" s="118" t="s">
        <v>432</v>
      </c>
      <c r="C16" s="118">
        <v>4</v>
      </c>
      <c r="D16" s="119" t="s">
        <v>370</v>
      </c>
      <c r="E16" s="119" t="s">
        <v>371</v>
      </c>
      <c r="F16" s="221" t="s">
        <v>45</v>
      </c>
      <c r="G16" s="182">
        <f t="shared" si="0"/>
        <v>2.1280000000000001</v>
      </c>
      <c r="H16" s="92"/>
      <c r="I16" s="58">
        <v>0.504</v>
      </c>
      <c r="J16" s="58">
        <v>0.315</v>
      </c>
      <c r="K16" s="58">
        <v>0.23799999999999999</v>
      </c>
      <c r="L16" s="58">
        <v>0.154</v>
      </c>
      <c r="M16" s="58">
        <v>0.245</v>
      </c>
      <c r="N16" s="58">
        <v>0.27300000000000002</v>
      </c>
      <c r="O16" s="58">
        <v>0.16800000000000001</v>
      </c>
      <c r="P16" s="58">
        <v>0.11899999999999999</v>
      </c>
      <c r="Q16" s="58">
        <v>0.112</v>
      </c>
    </row>
    <row r="17" spans="1:17" ht="33" customHeight="1" x14ac:dyDescent="0.25">
      <c r="A17" s="118" t="s">
        <v>718</v>
      </c>
      <c r="B17" s="118" t="s">
        <v>432</v>
      </c>
      <c r="C17" s="118">
        <v>4</v>
      </c>
      <c r="D17" s="119" t="s">
        <v>370</v>
      </c>
      <c r="E17" s="119" t="s">
        <v>371</v>
      </c>
      <c r="F17" s="221" t="s">
        <v>46</v>
      </c>
      <c r="G17" s="182">
        <f t="shared" si="0"/>
        <v>1.2</v>
      </c>
      <c r="H17" s="92"/>
      <c r="I17" s="58">
        <v>0.3</v>
      </c>
      <c r="J17" s="58">
        <v>0.09</v>
      </c>
      <c r="K17" s="58">
        <v>0.123</v>
      </c>
      <c r="L17" s="58">
        <v>8.1000000000000003E-2</v>
      </c>
      <c r="M17" s="58">
        <v>8.1000000000000003E-2</v>
      </c>
      <c r="N17" s="58">
        <v>0.3</v>
      </c>
      <c r="O17" s="58">
        <v>0.09</v>
      </c>
      <c r="P17" s="58">
        <v>6.9000000000000006E-2</v>
      </c>
      <c r="Q17" s="58">
        <v>6.6000000000000003E-2</v>
      </c>
    </row>
    <row r="18" spans="1:17" s="112" customFormat="1" ht="33" customHeight="1" x14ac:dyDescent="0.25">
      <c r="A18" s="118" t="s">
        <v>718</v>
      </c>
      <c r="B18" s="118" t="s">
        <v>432</v>
      </c>
      <c r="C18" s="118">
        <v>4</v>
      </c>
      <c r="D18" s="119" t="s">
        <v>370</v>
      </c>
      <c r="E18" s="119" t="s">
        <v>118</v>
      </c>
      <c r="F18" s="221" t="s">
        <v>66</v>
      </c>
      <c r="G18" s="182">
        <f t="shared" si="0"/>
        <v>40.182000000000002</v>
      </c>
      <c r="H18" s="92"/>
      <c r="I18" s="58">
        <v>9.6069999999999993</v>
      </c>
      <c r="J18" s="58">
        <v>5.9219999999999997</v>
      </c>
      <c r="K18" s="58">
        <v>4.4870000000000001</v>
      </c>
      <c r="L18" s="58">
        <v>2.915</v>
      </c>
      <c r="M18" s="58">
        <v>4.6619999999999999</v>
      </c>
      <c r="N18" s="58">
        <v>5.1660000000000004</v>
      </c>
      <c r="O18" s="58">
        <v>3.1389999999999998</v>
      </c>
      <c r="P18" s="58">
        <v>2.177</v>
      </c>
      <c r="Q18" s="58">
        <v>2.1070000000000002</v>
      </c>
    </row>
    <row r="19" spans="1:17" s="112" customFormat="1" ht="33" customHeight="1" x14ac:dyDescent="0.25">
      <c r="A19" s="118" t="s">
        <v>718</v>
      </c>
      <c r="B19" s="118" t="s">
        <v>432</v>
      </c>
      <c r="C19" s="118">
        <v>4</v>
      </c>
      <c r="D19" s="119" t="s">
        <v>370</v>
      </c>
      <c r="E19" s="119" t="s">
        <v>118</v>
      </c>
      <c r="F19" s="221" t="s">
        <v>67</v>
      </c>
      <c r="G19" s="182">
        <f t="shared" si="0"/>
        <v>4.7200000000000006</v>
      </c>
      <c r="H19" s="92"/>
      <c r="I19" s="58">
        <v>1.1519999999999999</v>
      </c>
      <c r="J19" s="58">
        <v>0.72</v>
      </c>
      <c r="K19" s="58">
        <v>0.54400000000000004</v>
      </c>
      <c r="L19" s="58">
        <v>0.35199999999999998</v>
      </c>
      <c r="M19" s="58">
        <v>0.56000000000000005</v>
      </c>
      <c r="N19" s="58">
        <v>0.624</v>
      </c>
      <c r="O19" s="58">
        <v>0.38400000000000001</v>
      </c>
      <c r="P19" s="58">
        <v>0.27200000000000002</v>
      </c>
      <c r="Q19" s="58">
        <v>0.112</v>
      </c>
    </row>
    <row r="20" spans="1:17" s="112" customFormat="1" ht="33" customHeight="1" x14ac:dyDescent="0.25">
      <c r="A20" s="118" t="s">
        <v>718</v>
      </c>
      <c r="B20" s="118" t="s">
        <v>432</v>
      </c>
      <c r="C20" s="118">
        <v>4</v>
      </c>
      <c r="D20" s="119" t="s">
        <v>370</v>
      </c>
      <c r="E20" s="119" t="s">
        <v>372</v>
      </c>
      <c r="F20" s="221" t="s">
        <v>69</v>
      </c>
      <c r="G20" s="182">
        <f t="shared" si="0"/>
        <v>35.225999999999999</v>
      </c>
      <c r="H20" s="92"/>
      <c r="I20" s="58">
        <v>8.3219999999999992</v>
      </c>
      <c r="J20" s="58">
        <v>5.2110000000000003</v>
      </c>
      <c r="K20" s="58">
        <v>3.948</v>
      </c>
      <c r="L20" s="58">
        <v>2.5649999999999999</v>
      </c>
      <c r="M20" s="58">
        <v>4.101</v>
      </c>
      <c r="N20" s="58">
        <v>4.5449999999999999</v>
      </c>
      <c r="O20" s="58">
        <v>2.7629999999999999</v>
      </c>
      <c r="P20" s="58">
        <v>1.917</v>
      </c>
      <c r="Q20" s="58">
        <v>1.8540000000000001</v>
      </c>
    </row>
    <row r="21" spans="1:17" s="112" customFormat="1" ht="33" customHeight="1" x14ac:dyDescent="0.25">
      <c r="A21" s="118" t="s">
        <v>718</v>
      </c>
      <c r="B21" s="118" t="s">
        <v>432</v>
      </c>
      <c r="C21" s="118">
        <v>5</v>
      </c>
      <c r="D21" s="119" t="s">
        <v>373</v>
      </c>
      <c r="E21" s="119" t="s">
        <v>371</v>
      </c>
      <c r="F21" s="221" t="s">
        <v>71</v>
      </c>
      <c r="G21" s="182">
        <f t="shared" si="0"/>
        <v>117.41999999999999</v>
      </c>
      <c r="H21" s="92"/>
      <c r="I21" s="58">
        <v>27.74</v>
      </c>
      <c r="J21" s="58">
        <v>17.37</v>
      </c>
      <c r="K21" s="58">
        <v>13.16</v>
      </c>
      <c r="L21" s="58">
        <v>8.5500000000000007</v>
      </c>
      <c r="M21" s="58">
        <v>13.67</v>
      </c>
      <c r="N21" s="58">
        <v>15.15</v>
      </c>
      <c r="O21" s="58">
        <v>9.2100000000000009</v>
      </c>
      <c r="P21" s="58">
        <v>6.39</v>
      </c>
      <c r="Q21" s="58">
        <v>6.18</v>
      </c>
    </row>
    <row r="22" spans="1:17" s="112" customFormat="1" ht="31.5" x14ac:dyDescent="0.25">
      <c r="A22" s="118" t="s">
        <v>718</v>
      </c>
      <c r="B22" s="118" t="s">
        <v>432</v>
      </c>
      <c r="C22" s="118">
        <v>6</v>
      </c>
      <c r="D22" s="119" t="s">
        <v>374</v>
      </c>
      <c r="E22" s="119" t="s">
        <v>371</v>
      </c>
      <c r="F22" s="221" t="s">
        <v>13</v>
      </c>
      <c r="G22" s="182">
        <f t="shared" si="0"/>
        <v>14.903999999999998</v>
      </c>
      <c r="H22" s="92">
        <v>1.8</v>
      </c>
      <c r="I22" s="58">
        <v>2.5499999999999998</v>
      </c>
      <c r="J22" s="58">
        <v>1.6719999999999999</v>
      </c>
      <c r="K22" s="58">
        <v>1.835</v>
      </c>
      <c r="L22" s="58">
        <v>1.02</v>
      </c>
      <c r="M22" s="58">
        <v>1.288</v>
      </c>
      <c r="N22" s="58">
        <v>1.911</v>
      </c>
      <c r="O22" s="58">
        <v>1.2090000000000001</v>
      </c>
      <c r="P22" s="58">
        <v>0.749</v>
      </c>
      <c r="Q22" s="58">
        <v>0.87</v>
      </c>
    </row>
    <row r="23" spans="1:17" s="112" customFormat="1" ht="33" customHeight="1" x14ac:dyDescent="0.25">
      <c r="A23" s="118" t="s">
        <v>718</v>
      </c>
      <c r="B23" s="118" t="s">
        <v>432</v>
      </c>
      <c r="C23" s="118">
        <v>6</v>
      </c>
      <c r="D23" s="119" t="s">
        <v>374</v>
      </c>
      <c r="E23" s="119" t="s">
        <v>398</v>
      </c>
      <c r="F23" s="247" t="s">
        <v>603</v>
      </c>
      <c r="G23" s="182">
        <f t="shared" si="0"/>
        <v>19.684999999999999</v>
      </c>
      <c r="H23" s="92"/>
      <c r="I23" s="58">
        <v>4.6559999999999997</v>
      </c>
      <c r="J23" s="58">
        <v>2.9140000000000001</v>
      </c>
      <c r="K23" s="58">
        <v>2.202</v>
      </c>
      <c r="L23" s="58">
        <v>1.44</v>
      </c>
      <c r="M23" s="58">
        <v>2.2850000000000001</v>
      </c>
      <c r="N23" s="58">
        <v>2.536</v>
      </c>
      <c r="O23" s="58">
        <v>1.546</v>
      </c>
      <c r="P23" s="58">
        <v>1.0660000000000001</v>
      </c>
      <c r="Q23" s="58">
        <v>1.04</v>
      </c>
    </row>
    <row r="24" spans="1:17" s="112" customFormat="1" ht="31.5" x14ac:dyDescent="0.25">
      <c r="A24" s="118" t="s">
        <v>718</v>
      </c>
      <c r="B24" s="118" t="s">
        <v>432</v>
      </c>
      <c r="C24" s="118">
        <v>7</v>
      </c>
      <c r="D24" s="119" t="s">
        <v>378</v>
      </c>
      <c r="E24" s="119" t="s">
        <v>371</v>
      </c>
      <c r="F24" s="221" t="s">
        <v>331</v>
      </c>
      <c r="G24" s="182">
        <f t="shared" si="0"/>
        <v>6.39</v>
      </c>
      <c r="H24" s="92">
        <v>5.12</v>
      </c>
      <c r="I24" s="92">
        <v>0.16</v>
      </c>
      <c r="J24" s="92">
        <v>0.14000000000000001</v>
      </c>
      <c r="K24" s="92">
        <v>0.16</v>
      </c>
      <c r="L24" s="92">
        <v>0.13</v>
      </c>
      <c r="M24" s="92">
        <v>0.14000000000000001</v>
      </c>
      <c r="N24" s="92">
        <v>0.15</v>
      </c>
      <c r="O24" s="92">
        <v>0.13</v>
      </c>
      <c r="P24" s="92">
        <v>0.13</v>
      </c>
      <c r="Q24" s="92">
        <v>0.13</v>
      </c>
    </row>
    <row r="25" spans="1:17" s="112" customFormat="1" ht="33" customHeight="1" x14ac:dyDescent="0.25">
      <c r="A25" s="118" t="s">
        <v>718</v>
      </c>
      <c r="B25" s="118" t="s">
        <v>432</v>
      </c>
      <c r="C25" s="118">
        <v>9</v>
      </c>
      <c r="D25" s="119" t="s">
        <v>77</v>
      </c>
      <c r="E25" s="119" t="s">
        <v>416</v>
      </c>
      <c r="F25" s="221" t="s">
        <v>77</v>
      </c>
      <c r="G25" s="182">
        <f t="shared" si="0"/>
        <v>1.7189999999999999</v>
      </c>
      <c r="H25" s="92">
        <v>0.12</v>
      </c>
      <c r="I25" s="58">
        <v>0.19400000000000001</v>
      </c>
      <c r="J25" s="58">
        <v>0.17699999999999999</v>
      </c>
      <c r="K25" s="58">
        <v>0.19400000000000001</v>
      </c>
      <c r="L25" s="58">
        <v>0.16800000000000001</v>
      </c>
      <c r="M25" s="58">
        <v>0.17699999999999999</v>
      </c>
      <c r="N25" s="58">
        <v>0.185</v>
      </c>
      <c r="O25" s="58">
        <v>0.16800000000000001</v>
      </c>
      <c r="P25" s="58">
        <v>0.16800000000000001</v>
      </c>
      <c r="Q25" s="58">
        <v>0.16800000000000001</v>
      </c>
    </row>
    <row r="26" spans="1:17" s="112" customFormat="1" ht="47.25" x14ac:dyDescent="0.25">
      <c r="A26" s="118" t="s">
        <v>718</v>
      </c>
      <c r="B26" s="118" t="s">
        <v>432</v>
      </c>
      <c r="C26" s="118">
        <v>10</v>
      </c>
      <c r="D26" s="119" t="s">
        <v>387</v>
      </c>
      <c r="E26" s="119" t="s">
        <v>397</v>
      </c>
      <c r="F26" s="221" t="s">
        <v>64</v>
      </c>
      <c r="G26" s="182">
        <f t="shared" si="0"/>
        <v>1.4650000000000001</v>
      </c>
      <c r="H26" s="92">
        <v>1.4650000000000001</v>
      </c>
      <c r="I26" s="58"/>
      <c r="J26" s="58"/>
      <c r="K26" s="58"/>
      <c r="L26" s="58"/>
      <c r="M26" s="58"/>
      <c r="N26" s="58"/>
      <c r="O26" s="58"/>
      <c r="P26" s="58"/>
      <c r="Q26" s="58"/>
    </row>
    <row r="27" spans="1:17" s="112" customFormat="1" ht="33" customHeight="1" x14ac:dyDescent="0.25">
      <c r="A27" s="118" t="s">
        <v>718</v>
      </c>
      <c r="B27" s="118" t="s">
        <v>432</v>
      </c>
      <c r="C27" s="118">
        <v>10</v>
      </c>
      <c r="D27" s="119" t="s">
        <v>387</v>
      </c>
      <c r="E27" s="119" t="s">
        <v>400</v>
      </c>
      <c r="F27" s="221" t="s">
        <v>363</v>
      </c>
      <c r="G27" s="182">
        <f t="shared" si="0"/>
        <v>4.1399999999999997</v>
      </c>
      <c r="H27" s="58">
        <v>4.1399999999999997</v>
      </c>
      <c r="I27" s="58"/>
      <c r="J27" s="58"/>
      <c r="K27" s="58"/>
      <c r="L27" s="58"/>
      <c r="M27" s="58"/>
      <c r="N27" s="58"/>
      <c r="O27" s="58"/>
      <c r="P27" s="58"/>
      <c r="Q27" s="58"/>
    </row>
    <row r="28" spans="1:17" s="112" customFormat="1" ht="33" customHeight="1" x14ac:dyDescent="0.25">
      <c r="A28" s="118" t="s">
        <v>718</v>
      </c>
      <c r="B28" s="118" t="s">
        <v>432</v>
      </c>
      <c r="C28" s="118">
        <v>10</v>
      </c>
      <c r="D28" s="119" t="s">
        <v>387</v>
      </c>
      <c r="E28" s="119" t="s">
        <v>401</v>
      </c>
      <c r="F28" s="221" t="s">
        <v>699</v>
      </c>
      <c r="G28" s="182">
        <f t="shared" si="0"/>
        <v>3.5339999999999998</v>
      </c>
      <c r="H28" s="92">
        <v>3.5339999999999998</v>
      </c>
      <c r="I28" s="58"/>
      <c r="J28" s="58"/>
      <c r="K28" s="58"/>
      <c r="L28" s="58"/>
      <c r="M28" s="58"/>
      <c r="N28" s="58"/>
      <c r="O28" s="58"/>
      <c r="P28" s="58"/>
      <c r="Q28" s="58"/>
    </row>
    <row r="29" spans="1:17" s="112" customFormat="1" ht="30.75" customHeight="1" x14ac:dyDescent="0.25">
      <c r="A29" s="118" t="s">
        <v>718</v>
      </c>
      <c r="B29" s="118" t="s">
        <v>432</v>
      </c>
      <c r="C29" s="118">
        <v>12</v>
      </c>
      <c r="D29" s="119" t="s">
        <v>651</v>
      </c>
      <c r="E29" s="119" t="s">
        <v>400</v>
      </c>
      <c r="F29" s="221" t="s">
        <v>903</v>
      </c>
      <c r="G29" s="182">
        <f t="shared" si="0"/>
        <v>9.8999999999999986</v>
      </c>
      <c r="H29" s="92">
        <v>3.3</v>
      </c>
      <c r="I29" s="92"/>
      <c r="J29" s="58"/>
      <c r="K29" s="58"/>
      <c r="L29" s="58"/>
      <c r="M29" s="58">
        <v>3.3</v>
      </c>
      <c r="N29" s="58">
        <v>3.3</v>
      </c>
      <c r="O29" s="58"/>
      <c r="P29" s="58"/>
      <c r="Q29" s="58"/>
    </row>
    <row r="30" spans="1:17" s="112" customFormat="1" ht="30.75" customHeight="1" x14ac:dyDescent="0.25">
      <c r="A30" s="118" t="s">
        <v>718</v>
      </c>
      <c r="B30" s="118" t="s">
        <v>432</v>
      </c>
      <c r="C30" s="118">
        <v>12</v>
      </c>
      <c r="D30" s="119" t="s">
        <v>651</v>
      </c>
      <c r="E30" s="119" t="s">
        <v>400</v>
      </c>
      <c r="F30" s="221" t="s">
        <v>904</v>
      </c>
      <c r="G30" s="182">
        <f t="shared" si="0"/>
        <v>23.099999999999998</v>
      </c>
      <c r="H30" s="92">
        <v>9.9</v>
      </c>
      <c r="I30" s="92"/>
      <c r="J30" s="58"/>
      <c r="K30" s="58"/>
      <c r="L30" s="58"/>
      <c r="M30" s="58">
        <v>3.3</v>
      </c>
      <c r="N30" s="58">
        <v>6.6</v>
      </c>
      <c r="O30" s="58"/>
      <c r="P30" s="58">
        <v>3.3</v>
      </c>
      <c r="Q30" s="58"/>
    </row>
    <row r="31" spans="1:17" s="112" customFormat="1" ht="33" customHeight="1" x14ac:dyDescent="0.25">
      <c r="A31" s="118" t="s">
        <v>718</v>
      </c>
      <c r="B31" s="118" t="s">
        <v>432</v>
      </c>
      <c r="C31" s="118">
        <v>12</v>
      </c>
      <c r="D31" s="119" t="s">
        <v>651</v>
      </c>
      <c r="E31" s="119" t="s">
        <v>400</v>
      </c>
      <c r="F31" s="221" t="s">
        <v>330</v>
      </c>
      <c r="G31" s="182">
        <f t="shared" si="0"/>
        <v>5.24</v>
      </c>
      <c r="H31" s="92">
        <v>5.24</v>
      </c>
      <c r="I31" s="58"/>
      <c r="J31" s="58"/>
      <c r="K31" s="58"/>
      <c r="L31" s="58"/>
      <c r="M31" s="58"/>
      <c r="N31" s="58"/>
      <c r="O31" s="58"/>
      <c r="P31" s="58"/>
      <c r="Q31" s="58"/>
    </row>
    <row r="32" spans="1:17" s="112" customFormat="1" ht="33" customHeight="1" x14ac:dyDescent="0.25">
      <c r="A32" s="118" t="s">
        <v>718</v>
      </c>
      <c r="B32" s="118" t="s">
        <v>432</v>
      </c>
      <c r="C32" s="118">
        <v>15</v>
      </c>
      <c r="D32" s="119" t="s">
        <v>377</v>
      </c>
      <c r="E32" s="119" t="s">
        <v>371</v>
      </c>
      <c r="F32" s="221" t="s">
        <v>14</v>
      </c>
      <c r="G32" s="182">
        <f t="shared" si="0"/>
        <v>2.16</v>
      </c>
      <c r="H32" s="58">
        <v>2.16</v>
      </c>
      <c r="I32" s="58"/>
      <c r="J32" s="58"/>
      <c r="K32" s="58"/>
      <c r="L32" s="58"/>
      <c r="M32" s="58"/>
      <c r="N32" s="58"/>
      <c r="O32" s="58"/>
      <c r="P32" s="58"/>
      <c r="Q32" s="58"/>
    </row>
    <row r="33" spans="1:17" s="112" customFormat="1" ht="47.25" x14ac:dyDescent="0.25">
      <c r="A33" s="118" t="s">
        <v>718</v>
      </c>
      <c r="B33" s="118" t="s">
        <v>432</v>
      </c>
      <c r="C33" s="118">
        <v>15</v>
      </c>
      <c r="D33" s="119" t="s">
        <v>377</v>
      </c>
      <c r="E33" s="119" t="s">
        <v>397</v>
      </c>
      <c r="F33" s="221" t="s">
        <v>700</v>
      </c>
      <c r="G33" s="182">
        <f t="shared" si="0"/>
        <v>16.05</v>
      </c>
      <c r="H33" s="58">
        <v>16.05</v>
      </c>
      <c r="I33" s="58"/>
      <c r="J33" s="58"/>
      <c r="K33" s="58"/>
      <c r="L33" s="58"/>
      <c r="M33" s="58"/>
      <c r="N33" s="58"/>
      <c r="O33" s="58"/>
      <c r="P33" s="58"/>
      <c r="Q33" s="58"/>
    </row>
    <row r="34" spans="1:17" s="112" customFormat="1" ht="47.25" x14ac:dyDescent="0.25">
      <c r="A34" s="118" t="s">
        <v>718</v>
      </c>
      <c r="B34" s="118" t="s">
        <v>432</v>
      </c>
      <c r="C34" s="118">
        <v>15</v>
      </c>
      <c r="D34" s="119" t="s">
        <v>377</v>
      </c>
      <c r="E34" s="119" t="s">
        <v>397</v>
      </c>
      <c r="F34" s="221" t="s">
        <v>701</v>
      </c>
      <c r="G34" s="182">
        <f t="shared" si="0"/>
        <v>8.423</v>
      </c>
      <c r="H34" s="58">
        <v>8.423</v>
      </c>
      <c r="I34" s="58"/>
      <c r="J34" s="58"/>
      <c r="K34" s="58"/>
      <c r="L34" s="58"/>
      <c r="M34" s="58"/>
      <c r="N34" s="58"/>
      <c r="O34" s="58"/>
      <c r="P34" s="58"/>
      <c r="Q34" s="58"/>
    </row>
    <row r="35" spans="1:17" s="112" customFormat="1" ht="33" customHeight="1" x14ac:dyDescent="0.25">
      <c r="A35" s="118" t="s">
        <v>718</v>
      </c>
      <c r="B35" s="118" t="s">
        <v>432</v>
      </c>
      <c r="C35" s="118">
        <v>16</v>
      </c>
      <c r="D35" s="119" t="s">
        <v>394</v>
      </c>
      <c r="E35" s="119" t="s">
        <v>401</v>
      </c>
      <c r="F35" s="221" t="s">
        <v>376</v>
      </c>
      <c r="G35" s="182">
        <f t="shared" si="0"/>
        <v>7.1999999999999993</v>
      </c>
      <c r="H35" s="92"/>
      <c r="I35" s="58">
        <v>1.2</v>
      </c>
      <c r="J35" s="58">
        <v>0.75</v>
      </c>
      <c r="K35" s="58">
        <v>0.9</v>
      </c>
      <c r="L35" s="58">
        <v>0.6</v>
      </c>
      <c r="M35" s="58">
        <v>0.9</v>
      </c>
      <c r="N35" s="58">
        <v>1.05</v>
      </c>
      <c r="O35" s="58">
        <v>0.6</v>
      </c>
      <c r="P35" s="58">
        <v>0.6</v>
      </c>
      <c r="Q35" s="58">
        <v>0.6</v>
      </c>
    </row>
    <row r="36" spans="1:17" s="112" customFormat="1" ht="33" customHeight="1" x14ac:dyDescent="0.25">
      <c r="A36" s="118" t="s">
        <v>718</v>
      </c>
      <c r="B36" s="118" t="s">
        <v>432</v>
      </c>
      <c r="C36" s="118">
        <v>16</v>
      </c>
      <c r="D36" s="119" t="s">
        <v>394</v>
      </c>
      <c r="E36" s="119" t="s">
        <v>401</v>
      </c>
      <c r="F36" s="221" t="s">
        <v>375</v>
      </c>
      <c r="G36" s="182">
        <f t="shared" ref="G36:G67" si="1">SUM(H36:Q36)</f>
        <v>5.2969999999999997</v>
      </c>
      <c r="H36" s="92"/>
      <c r="I36" s="58">
        <v>1.1399999999999999</v>
      </c>
      <c r="J36" s="58">
        <v>0.66300000000000003</v>
      </c>
      <c r="K36" s="58">
        <v>0.59599999999999997</v>
      </c>
      <c r="L36" s="58">
        <v>0.376</v>
      </c>
      <c r="M36" s="58">
        <v>0.78400000000000003</v>
      </c>
      <c r="N36" s="58">
        <v>0.67900000000000005</v>
      </c>
      <c r="O36" s="58">
        <v>0.46700000000000003</v>
      </c>
      <c r="P36" s="58">
        <v>0.30599999999999999</v>
      </c>
      <c r="Q36" s="58">
        <v>0.28599999999999998</v>
      </c>
    </row>
    <row r="37" spans="1:17" s="112" customFormat="1" ht="33" customHeight="1" x14ac:dyDescent="0.25">
      <c r="A37" s="118" t="s">
        <v>718</v>
      </c>
      <c r="B37" s="118" t="s">
        <v>432</v>
      </c>
      <c r="C37" s="118">
        <v>16</v>
      </c>
      <c r="D37" s="119" t="s">
        <v>394</v>
      </c>
      <c r="E37" s="119" t="s">
        <v>400</v>
      </c>
      <c r="F37" s="221" t="s">
        <v>900</v>
      </c>
      <c r="G37" s="272">
        <f t="shared" si="1"/>
        <v>0</v>
      </c>
      <c r="H37" s="92"/>
      <c r="I37" s="58"/>
      <c r="J37" s="58"/>
      <c r="K37" s="58"/>
      <c r="L37" s="58"/>
      <c r="M37" s="58"/>
      <c r="N37" s="58"/>
      <c r="O37" s="58"/>
      <c r="P37" s="58"/>
      <c r="Q37" s="58"/>
    </row>
    <row r="38" spans="1:17" s="112" customFormat="1" ht="33" customHeight="1" x14ac:dyDescent="0.25">
      <c r="A38" s="118" t="s">
        <v>718</v>
      </c>
      <c r="B38" s="118" t="s">
        <v>432</v>
      </c>
      <c r="C38" s="118">
        <v>17</v>
      </c>
      <c r="D38" s="119" t="s">
        <v>393</v>
      </c>
      <c r="E38" s="119" t="s">
        <v>401</v>
      </c>
      <c r="F38" s="221" t="s">
        <v>144</v>
      </c>
      <c r="G38" s="182">
        <f t="shared" si="1"/>
        <v>9.1199999999999992</v>
      </c>
      <c r="H38" s="92">
        <v>9.1199999999999992</v>
      </c>
      <c r="I38" s="58"/>
      <c r="J38" s="58"/>
      <c r="K38" s="58"/>
      <c r="L38" s="58"/>
      <c r="M38" s="58"/>
      <c r="N38" s="58"/>
      <c r="O38" s="58"/>
      <c r="P38" s="58"/>
      <c r="Q38" s="58"/>
    </row>
    <row r="39" spans="1:17" s="112" customFormat="1" ht="33" customHeight="1" x14ac:dyDescent="0.25">
      <c r="A39" s="118" t="s">
        <v>718</v>
      </c>
      <c r="B39" s="118" t="s">
        <v>432</v>
      </c>
      <c r="C39" s="118">
        <v>17</v>
      </c>
      <c r="D39" s="119" t="s">
        <v>393</v>
      </c>
      <c r="E39" s="119" t="s">
        <v>401</v>
      </c>
      <c r="F39" s="221" t="s">
        <v>84</v>
      </c>
      <c r="G39" s="182">
        <f t="shared" si="1"/>
        <v>0.40400000000000003</v>
      </c>
      <c r="H39" s="92">
        <v>0.40400000000000003</v>
      </c>
      <c r="I39" s="58"/>
      <c r="J39" s="58"/>
      <c r="K39" s="58"/>
      <c r="L39" s="58"/>
      <c r="M39" s="58"/>
      <c r="N39" s="58"/>
      <c r="O39" s="58"/>
      <c r="P39" s="58"/>
      <c r="Q39" s="58"/>
    </row>
    <row r="40" spans="1:17" s="112" customFormat="1" ht="33" customHeight="1" x14ac:dyDescent="0.25">
      <c r="A40" s="118" t="s">
        <v>718</v>
      </c>
      <c r="B40" s="118" t="s">
        <v>432</v>
      </c>
      <c r="C40" s="118">
        <v>17</v>
      </c>
      <c r="D40" s="119" t="s">
        <v>393</v>
      </c>
      <c r="E40" s="119" t="s">
        <v>401</v>
      </c>
      <c r="F40" s="221" t="s">
        <v>85</v>
      </c>
      <c r="G40" s="182">
        <f t="shared" si="1"/>
        <v>24.612000000000002</v>
      </c>
      <c r="H40" s="92"/>
      <c r="I40" s="58">
        <v>5.8150000000000004</v>
      </c>
      <c r="J40" s="58">
        <v>3.641</v>
      </c>
      <c r="K40" s="58">
        <v>2.7570000000000001</v>
      </c>
      <c r="L40" s="58">
        <v>1.7929999999999999</v>
      </c>
      <c r="M40" s="58">
        <v>2.8660000000000001</v>
      </c>
      <c r="N40" s="58">
        <v>3.1760000000000002</v>
      </c>
      <c r="O40" s="58">
        <v>1.93</v>
      </c>
      <c r="P40" s="58">
        <v>1.3380000000000001</v>
      </c>
      <c r="Q40" s="58">
        <v>1.296</v>
      </c>
    </row>
    <row r="41" spans="1:17" s="112" customFormat="1" ht="33" customHeight="1" x14ac:dyDescent="0.25">
      <c r="A41" s="118" t="s">
        <v>718</v>
      </c>
      <c r="B41" s="118" t="s">
        <v>432</v>
      </c>
      <c r="C41" s="118">
        <v>17</v>
      </c>
      <c r="D41" s="119" t="s">
        <v>393</v>
      </c>
      <c r="E41" s="119" t="s">
        <v>401</v>
      </c>
      <c r="F41" s="221" t="s">
        <v>86</v>
      </c>
      <c r="G41" s="182">
        <f t="shared" si="1"/>
        <v>0.92</v>
      </c>
      <c r="H41" s="92">
        <v>0.92</v>
      </c>
      <c r="I41" s="58"/>
      <c r="J41" s="58"/>
      <c r="K41" s="58"/>
      <c r="L41" s="58"/>
      <c r="M41" s="58"/>
      <c r="N41" s="58"/>
      <c r="O41" s="58"/>
      <c r="P41" s="58"/>
      <c r="Q41" s="58"/>
    </row>
    <row r="42" spans="1:17" s="112" customFormat="1" ht="33" customHeight="1" x14ac:dyDescent="0.25">
      <c r="A42" s="118" t="s">
        <v>718</v>
      </c>
      <c r="B42" s="118" t="s">
        <v>432</v>
      </c>
      <c r="C42" s="118">
        <v>17</v>
      </c>
      <c r="D42" s="119" t="s">
        <v>393</v>
      </c>
      <c r="E42" s="119" t="s">
        <v>401</v>
      </c>
      <c r="F42" s="221" t="s">
        <v>632</v>
      </c>
      <c r="G42" s="182">
        <f t="shared" si="1"/>
        <v>4.8620000000000001</v>
      </c>
      <c r="H42" s="92">
        <v>4.8620000000000001</v>
      </c>
      <c r="I42" s="58"/>
      <c r="J42" s="58"/>
      <c r="K42" s="58"/>
      <c r="L42" s="58"/>
      <c r="M42" s="58"/>
      <c r="N42" s="58"/>
      <c r="O42" s="58"/>
      <c r="P42" s="58"/>
      <c r="Q42" s="58"/>
    </row>
    <row r="43" spans="1:17" s="112" customFormat="1" ht="33" customHeight="1" x14ac:dyDescent="0.25">
      <c r="A43" s="118" t="s">
        <v>719</v>
      </c>
      <c r="B43" s="118" t="s">
        <v>434</v>
      </c>
      <c r="C43" s="118">
        <v>23</v>
      </c>
      <c r="D43" s="119" t="s">
        <v>993</v>
      </c>
      <c r="E43" s="119" t="s">
        <v>398</v>
      </c>
      <c r="F43" s="221" t="s">
        <v>688</v>
      </c>
      <c r="G43" s="182">
        <f t="shared" si="1"/>
        <v>44.747</v>
      </c>
      <c r="H43" s="92"/>
      <c r="I43" s="58">
        <v>10.57</v>
      </c>
      <c r="J43" s="58">
        <v>6.62</v>
      </c>
      <c r="K43" s="58">
        <v>5.01</v>
      </c>
      <c r="L43" s="58">
        <v>3.26</v>
      </c>
      <c r="M43" s="58">
        <v>5.21</v>
      </c>
      <c r="N43" s="58">
        <v>5.7750000000000004</v>
      </c>
      <c r="O43" s="58">
        <v>3.51</v>
      </c>
      <c r="P43" s="58">
        <v>2.4350000000000001</v>
      </c>
      <c r="Q43" s="58">
        <v>2.3570000000000002</v>
      </c>
    </row>
    <row r="44" spans="1:17" s="112" customFormat="1" ht="33" customHeight="1" x14ac:dyDescent="0.25">
      <c r="A44" s="118" t="s">
        <v>719</v>
      </c>
      <c r="B44" s="118" t="s">
        <v>434</v>
      </c>
      <c r="C44" s="118">
        <v>23</v>
      </c>
      <c r="D44" s="119" t="s">
        <v>993</v>
      </c>
      <c r="E44" s="119" t="s">
        <v>398</v>
      </c>
      <c r="F44" s="221" t="s">
        <v>264</v>
      </c>
      <c r="G44" s="182">
        <f t="shared" si="1"/>
        <v>44.747</v>
      </c>
      <c r="H44" s="92"/>
      <c r="I44" s="58">
        <v>10.57</v>
      </c>
      <c r="J44" s="58">
        <v>6.62</v>
      </c>
      <c r="K44" s="58">
        <v>5.01</v>
      </c>
      <c r="L44" s="58">
        <v>3.26</v>
      </c>
      <c r="M44" s="58">
        <v>5.21</v>
      </c>
      <c r="N44" s="58">
        <v>5.7750000000000004</v>
      </c>
      <c r="O44" s="58">
        <v>3.51</v>
      </c>
      <c r="P44" s="58">
        <v>2.4350000000000001</v>
      </c>
      <c r="Q44" s="58">
        <v>2.3570000000000002</v>
      </c>
    </row>
    <row r="45" spans="1:17" s="112" customFormat="1" ht="33" customHeight="1" x14ac:dyDescent="0.25">
      <c r="A45" s="118" t="s">
        <v>719</v>
      </c>
      <c r="B45" s="118" t="s">
        <v>434</v>
      </c>
      <c r="C45" s="118">
        <v>24</v>
      </c>
      <c r="D45" s="119" t="s">
        <v>652</v>
      </c>
      <c r="E45" s="119" t="s">
        <v>371</v>
      </c>
      <c r="F45" s="221" t="s">
        <v>56</v>
      </c>
      <c r="G45" s="182">
        <f t="shared" si="1"/>
        <v>24</v>
      </c>
      <c r="H45" s="92"/>
      <c r="I45" s="58">
        <v>5</v>
      </c>
      <c r="J45" s="120">
        <v>3</v>
      </c>
      <c r="K45" s="58">
        <v>4</v>
      </c>
      <c r="L45" s="58"/>
      <c r="M45" s="58">
        <v>3</v>
      </c>
      <c r="N45" s="58">
        <v>3</v>
      </c>
      <c r="O45" s="58">
        <v>3</v>
      </c>
      <c r="P45" s="58">
        <v>3</v>
      </c>
      <c r="Q45" s="58"/>
    </row>
    <row r="46" spans="1:17" s="112" customFormat="1" ht="33" customHeight="1" x14ac:dyDescent="0.25">
      <c r="A46" s="118" t="s">
        <v>719</v>
      </c>
      <c r="B46" s="118" t="s">
        <v>434</v>
      </c>
      <c r="C46" s="118">
        <v>24</v>
      </c>
      <c r="D46" s="119" t="s">
        <v>652</v>
      </c>
      <c r="E46" s="119" t="s">
        <v>371</v>
      </c>
      <c r="F46" s="221" t="s">
        <v>57</v>
      </c>
      <c r="G46" s="182">
        <f t="shared" si="1"/>
        <v>6.4</v>
      </c>
      <c r="H46" s="92"/>
      <c r="I46" s="58">
        <v>0.8</v>
      </c>
      <c r="J46" s="58"/>
      <c r="K46" s="58">
        <v>0.8</v>
      </c>
      <c r="L46" s="58">
        <v>1.6</v>
      </c>
      <c r="M46" s="58"/>
      <c r="N46" s="58">
        <v>0.8</v>
      </c>
      <c r="O46" s="58">
        <v>0.8</v>
      </c>
      <c r="P46" s="58"/>
      <c r="Q46" s="58">
        <v>1.6</v>
      </c>
    </row>
    <row r="47" spans="1:17" s="112" customFormat="1" ht="31.5" x14ac:dyDescent="0.25">
      <c r="A47" s="118" t="s">
        <v>719</v>
      </c>
      <c r="B47" s="118" t="s">
        <v>434</v>
      </c>
      <c r="C47" s="118">
        <v>24</v>
      </c>
      <c r="D47" s="119" t="s">
        <v>652</v>
      </c>
      <c r="E47" s="119" t="s">
        <v>371</v>
      </c>
      <c r="F47" s="221" t="s">
        <v>58</v>
      </c>
      <c r="G47" s="182">
        <f t="shared" si="1"/>
        <v>6.2</v>
      </c>
      <c r="H47" s="92"/>
      <c r="I47" s="58">
        <v>0.55000000000000004</v>
      </c>
      <c r="J47" s="58">
        <v>0.4</v>
      </c>
      <c r="K47" s="58">
        <v>0.95</v>
      </c>
      <c r="L47" s="58">
        <v>0.35</v>
      </c>
      <c r="M47" s="58">
        <v>0.85</v>
      </c>
      <c r="N47" s="58">
        <v>1.4</v>
      </c>
      <c r="O47" s="58">
        <v>0.75</v>
      </c>
      <c r="P47" s="58">
        <v>0.75</v>
      </c>
      <c r="Q47" s="58">
        <v>0.2</v>
      </c>
    </row>
    <row r="48" spans="1:17" ht="47.25" x14ac:dyDescent="0.25">
      <c r="A48" s="118" t="s">
        <v>719</v>
      </c>
      <c r="B48" s="118" t="s">
        <v>434</v>
      </c>
      <c r="C48" s="118">
        <v>24</v>
      </c>
      <c r="D48" s="119" t="s">
        <v>652</v>
      </c>
      <c r="E48" s="119" t="s">
        <v>397</v>
      </c>
      <c r="F48" s="221" t="s">
        <v>65</v>
      </c>
      <c r="G48" s="182">
        <f t="shared" si="1"/>
        <v>16.8</v>
      </c>
      <c r="H48" s="92"/>
      <c r="I48" s="58">
        <v>2.8</v>
      </c>
      <c r="J48" s="58"/>
      <c r="K48" s="58">
        <v>2.8</v>
      </c>
      <c r="L48" s="58"/>
      <c r="M48" s="58">
        <v>2.8</v>
      </c>
      <c r="N48" s="58">
        <v>2.8</v>
      </c>
      <c r="O48" s="58">
        <v>2.8</v>
      </c>
      <c r="P48" s="58">
        <v>2.8</v>
      </c>
      <c r="Q48" s="58"/>
    </row>
    <row r="49" spans="1:17" ht="33" customHeight="1" x14ac:dyDescent="0.25">
      <c r="A49" s="118" t="s">
        <v>719</v>
      </c>
      <c r="B49" s="118" t="s">
        <v>434</v>
      </c>
      <c r="C49" s="118">
        <v>24</v>
      </c>
      <c r="D49" s="119" t="s">
        <v>652</v>
      </c>
      <c r="E49" s="119" t="s">
        <v>400</v>
      </c>
      <c r="F49" s="221" t="s">
        <v>876</v>
      </c>
      <c r="G49" s="182">
        <f t="shared" si="1"/>
        <v>9.7200000000000006</v>
      </c>
      <c r="H49" s="92">
        <v>9.7200000000000006</v>
      </c>
      <c r="I49" s="58"/>
      <c r="J49" s="58"/>
      <c r="K49" s="58"/>
      <c r="L49" s="58"/>
      <c r="M49" s="58"/>
      <c r="N49" s="58"/>
      <c r="O49" s="58"/>
      <c r="P49" s="58"/>
      <c r="Q49" s="58"/>
    </row>
    <row r="50" spans="1:17" ht="33" customHeight="1" x14ac:dyDescent="0.25">
      <c r="A50" s="118" t="s">
        <v>719</v>
      </c>
      <c r="B50" s="118" t="s">
        <v>434</v>
      </c>
      <c r="C50" s="118">
        <v>24</v>
      </c>
      <c r="D50" s="119" t="s">
        <v>652</v>
      </c>
      <c r="E50" s="119" t="s">
        <v>400</v>
      </c>
      <c r="F50" s="221" t="s">
        <v>877</v>
      </c>
      <c r="G50" s="182">
        <f t="shared" si="1"/>
        <v>9.24</v>
      </c>
      <c r="H50" s="92">
        <v>9.24</v>
      </c>
      <c r="I50" s="58"/>
      <c r="J50" s="58"/>
      <c r="K50" s="58"/>
      <c r="L50" s="58"/>
      <c r="M50" s="58"/>
      <c r="N50" s="58"/>
      <c r="O50" s="58"/>
      <c r="P50" s="58"/>
      <c r="Q50" s="58"/>
    </row>
    <row r="51" spans="1:17" ht="33" customHeight="1" x14ac:dyDescent="0.25">
      <c r="A51" s="118" t="s">
        <v>719</v>
      </c>
      <c r="B51" s="118" t="s">
        <v>434</v>
      </c>
      <c r="C51" s="118">
        <v>24</v>
      </c>
      <c r="D51" s="119" t="s">
        <v>652</v>
      </c>
      <c r="E51" s="119" t="s">
        <v>400</v>
      </c>
      <c r="F51" s="221" t="s">
        <v>878</v>
      </c>
      <c r="G51" s="182">
        <f t="shared" si="1"/>
        <v>5.649</v>
      </c>
      <c r="H51" s="92">
        <v>5.649</v>
      </c>
      <c r="I51" s="58"/>
      <c r="J51" s="58"/>
      <c r="K51" s="58"/>
      <c r="L51" s="58"/>
      <c r="M51" s="58"/>
      <c r="N51" s="58"/>
      <c r="O51" s="58"/>
      <c r="P51" s="58"/>
      <c r="Q51" s="58"/>
    </row>
    <row r="52" spans="1:17" ht="33" customHeight="1" x14ac:dyDescent="0.25">
      <c r="A52" s="118" t="s">
        <v>719</v>
      </c>
      <c r="B52" s="118" t="s">
        <v>434</v>
      </c>
      <c r="C52" s="118">
        <v>24</v>
      </c>
      <c r="D52" s="119" t="s">
        <v>652</v>
      </c>
      <c r="E52" s="119" t="s">
        <v>400</v>
      </c>
      <c r="F52" s="221" t="s">
        <v>419</v>
      </c>
      <c r="G52" s="182">
        <f t="shared" si="1"/>
        <v>6.16</v>
      </c>
      <c r="H52" s="92">
        <v>6.16</v>
      </c>
      <c r="I52" s="58"/>
      <c r="J52" s="58"/>
      <c r="K52" s="58"/>
      <c r="L52" s="58"/>
      <c r="M52" s="58"/>
      <c r="N52" s="58"/>
      <c r="O52" s="58"/>
      <c r="P52" s="58"/>
      <c r="Q52" s="58"/>
    </row>
    <row r="53" spans="1:17" s="112" customFormat="1" ht="33" customHeight="1" x14ac:dyDescent="0.25">
      <c r="A53" s="118" t="s">
        <v>719</v>
      </c>
      <c r="B53" s="118" t="s">
        <v>434</v>
      </c>
      <c r="C53" s="118">
        <v>24</v>
      </c>
      <c r="D53" s="119" t="s">
        <v>652</v>
      </c>
      <c r="E53" s="119" t="s">
        <v>400</v>
      </c>
      <c r="F53" s="221" t="s">
        <v>436</v>
      </c>
      <c r="G53" s="182">
        <f t="shared" si="1"/>
        <v>0.72</v>
      </c>
      <c r="H53" s="92">
        <v>0.72</v>
      </c>
      <c r="I53" s="58"/>
      <c r="J53" s="58"/>
      <c r="K53" s="58"/>
      <c r="L53" s="58"/>
      <c r="M53" s="58"/>
      <c r="N53" s="58"/>
      <c r="O53" s="58"/>
      <c r="P53" s="58"/>
      <c r="Q53" s="58"/>
    </row>
    <row r="54" spans="1:17" s="112" customFormat="1" ht="33" customHeight="1" x14ac:dyDescent="0.25">
      <c r="A54" s="118" t="s">
        <v>719</v>
      </c>
      <c r="B54" s="118" t="s">
        <v>434</v>
      </c>
      <c r="C54" s="118">
        <v>24</v>
      </c>
      <c r="D54" s="119" t="s">
        <v>652</v>
      </c>
      <c r="E54" s="119" t="s">
        <v>400</v>
      </c>
      <c r="F54" s="221" t="s">
        <v>437</v>
      </c>
      <c r="G54" s="182">
        <f t="shared" si="1"/>
        <v>1.04</v>
      </c>
      <c r="H54" s="92">
        <v>1.04</v>
      </c>
      <c r="I54" s="58"/>
      <c r="J54" s="58"/>
      <c r="K54" s="58"/>
      <c r="L54" s="58"/>
      <c r="M54" s="58"/>
      <c r="N54" s="58"/>
      <c r="O54" s="58"/>
      <c r="P54" s="58"/>
      <c r="Q54" s="58"/>
    </row>
    <row r="55" spans="1:17" s="112" customFormat="1" ht="33" customHeight="1" x14ac:dyDescent="0.25">
      <c r="A55" s="118" t="s">
        <v>719</v>
      </c>
      <c r="B55" s="118" t="s">
        <v>434</v>
      </c>
      <c r="C55" s="118">
        <v>24</v>
      </c>
      <c r="D55" s="119" t="s">
        <v>652</v>
      </c>
      <c r="E55" s="119" t="s">
        <v>401</v>
      </c>
      <c r="F55" s="221" t="s">
        <v>89</v>
      </c>
      <c r="G55" s="182">
        <f t="shared" si="1"/>
        <v>2.2000000000000002</v>
      </c>
      <c r="H55" s="92"/>
      <c r="I55" s="58">
        <v>0.4</v>
      </c>
      <c r="J55" s="120">
        <v>0.3</v>
      </c>
      <c r="K55" s="58">
        <v>0.3</v>
      </c>
      <c r="L55" s="58"/>
      <c r="M55" s="58">
        <v>0.3</v>
      </c>
      <c r="N55" s="58">
        <v>0.3</v>
      </c>
      <c r="O55" s="58">
        <v>0.3</v>
      </c>
      <c r="P55" s="58">
        <v>0.3</v>
      </c>
      <c r="Q55" s="58"/>
    </row>
    <row r="56" spans="1:17" s="112" customFormat="1" ht="33" customHeight="1" x14ac:dyDescent="0.25">
      <c r="A56" s="118" t="s">
        <v>719</v>
      </c>
      <c r="B56" s="118" t="s">
        <v>434</v>
      </c>
      <c r="C56" s="118">
        <v>24</v>
      </c>
      <c r="D56" s="119" t="s">
        <v>652</v>
      </c>
      <c r="E56" s="119" t="s">
        <v>401</v>
      </c>
      <c r="F56" s="221" t="s">
        <v>901</v>
      </c>
      <c r="G56" s="182">
        <f t="shared" si="1"/>
        <v>3.6</v>
      </c>
      <c r="H56" s="92">
        <v>3.6</v>
      </c>
      <c r="I56" s="58"/>
      <c r="J56" s="120"/>
      <c r="K56" s="58"/>
      <c r="L56" s="58"/>
      <c r="M56" s="58"/>
      <c r="N56" s="58"/>
      <c r="O56" s="58"/>
      <c r="P56" s="58"/>
      <c r="Q56" s="58"/>
    </row>
    <row r="57" spans="1:17" s="112" customFormat="1" ht="33" customHeight="1" x14ac:dyDescent="0.25">
      <c r="A57" s="118" t="s">
        <v>719</v>
      </c>
      <c r="B57" s="118" t="s">
        <v>434</v>
      </c>
      <c r="C57" s="118">
        <v>24</v>
      </c>
      <c r="D57" s="119" t="s">
        <v>652</v>
      </c>
      <c r="E57" s="119" t="s">
        <v>401</v>
      </c>
      <c r="F57" s="221" t="s">
        <v>875</v>
      </c>
      <c r="G57" s="182">
        <f t="shared" si="1"/>
        <v>1.6</v>
      </c>
      <c r="H57" s="92"/>
      <c r="I57" s="58">
        <v>0.2</v>
      </c>
      <c r="J57" s="120"/>
      <c r="K57" s="58">
        <v>0.2</v>
      </c>
      <c r="L57" s="58">
        <v>0.4</v>
      </c>
      <c r="M57" s="58"/>
      <c r="N57" s="58">
        <v>0.2</v>
      </c>
      <c r="O57" s="58">
        <v>0.2</v>
      </c>
      <c r="P57" s="58"/>
      <c r="Q57" s="58">
        <v>0.4</v>
      </c>
    </row>
    <row r="58" spans="1:17" s="112" customFormat="1" ht="33" customHeight="1" x14ac:dyDescent="0.25">
      <c r="A58" s="118" t="s">
        <v>719</v>
      </c>
      <c r="B58" s="118" t="s">
        <v>434</v>
      </c>
      <c r="C58" s="118">
        <v>24</v>
      </c>
      <c r="D58" s="119" t="s">
        <v>652</v>
      </c>
      <c r="E58" s="119" t="s">
        <v>564</v>
      </c>
      <c r="F58" s="221" t="s">
        <v>93</v>
      </c>
      <c r="G58" s="182">
        <f t="shared" si="1"/>
        <v>2.1</v>
      </c>
      <c r="H58" s="92"/>
      <c r="I58" s="58">
        <v>0.3</v>
      </c>
      <c r="J58" s="120">
        <v>0.3</v>
      </c>
      <c r="K58" s="58">
        <v>0.3</v>
      </c>
      <c r="L58" s="58"/>
      <c r="M58" s="58">
        <v>0.3</v>
      </c>
      <c r="N58" s="58">
        <v>0.3</v>
      </c>
      <c r="O58" s="58">
        <v>0.3</v>
      </c>
      <c r="P58" s="58">
        <v>0.3</v>
      </c>
      <c r="Q58" s="58"/>
    </row>
    <row r="59" spans="1:17" s="112" customFormat="1" ht="33" customHeight="1" x14ac:dyDescent="0.25">
      <c r="A59" s="118" t="s">
        <v>719</v>
      </c>
      <c r="B59" s="118" t="s">
        <v>434</v>
      </c>
      <c r="C59" s="118">
        <v>25</v>
      </c>
      <c r="D59" s="119" t="s">
        <v>78</v>
      </c>
      <c r="E59" s="119" t="s">
        <v>416</v>
      </c>
      <c r="F59" s="221" t="s">
        <v>78</v>
      </c>
      <c r="G59" s="182">
        <f t="shared" si="1"/>
        <v>1.9079999999999999</v>
      </c>
      <c r="H59" s="92"/>
      <c r="I59" s="58">
        <v>0.39</v>
      </c>
      <c r="J59" s="58">
        <v>0.21</v>
      </c>
      <c r="K59" s="58">
        <v>0.35</v>
      </c>
      <c r="L59" s="58">
        <v>0.15</v>
      </c>
      <c r="M59" s="58">
        <v>0.22800000000000001</v>
      </c>
      <c r="N59" s="58">
        <v>0.17100000000000001</v>
      </c>
      <c r="O59" s="58">
        <v>0.11</v>
      </c>
      <c r="P59" s="58">
        <v>0.17100000000000001</v>
      </c>
      <c r="Q59" s="58">
        <v>0.128</v>
      </c>
    </row>
    <row r="60" spans="1:17" s="112" customFormat="1" ht="33" customHeight="1" x14ac:dyDescent="0.25">
      <c r="A60" s="118" t="s">
        <v>719</v>
      </c>
      <c r="B60" s="118" t="s">
        <v>434</v>
      </c>
      <c r="C60" s="118">
        <v>25</v>
      </c>
      <c r="D60" s="119" t="s">
        <v>78</v>
      </c>
      <c r="E60" s="119" t="s">
        <v>401</v>
      </c>
      <c r="F60" s="221" t="s">
        <v>87</v>
      </c>
      <c r="G60" s="182">
        <f t="shared" si="1"/>
        <v>0.23200000000000001</v>
      </c>
      <c r="H60" s="92">
        <v>0.23200000000000001</v>
      </c>
      <c r="I60" s="58"/>
      <c r="J60" s="58"/>
      <c r="K60" s="58"/>
      <c r="L60" s="58"/>
      <c r="M60" s="58"/>
      <c r="N60" s="58"/>
      <c r="O60" s="58"/>
      <c r="P60" s="58"/>
      <c r="Q60" s="58"/>
    </row>
    <row r="61" spans="1:17" s="112" customFormat="1" ht="47.25" x14ac:dyDescent="0.25">
      <c r="A61" s="118" t="s">
        <v>719</v>
      </c>
      <c r="B61" s="118" t="s">
        <v>434</v>
      </c>
      <c r="C61" s="118">
        <v>26</v>
      </c>
      <c r="D61" s="119" t="s">
        <v>389</v>
      </c>
      <c r="E61" s="119" t="s">
        <v>397</v>
      </c>
      <c r="F61" s="221" t="s">
        <v>369</v>
      </c>
      <c r="G61" s="182">
        <f t="shared" si="1"/>
        <v>0.93900000000000006</v>
      </c>
      <c r="H61" s="92"/>
      <c r="I61" s="58"/>
      <c r="J61" s="58"/>
      <c r="K61" s="58"/>
      <c r="L61" s="58"/>
      <c r="M61" s="58"/>
      <c r="N61" s="58"/>
      <c r="O61" s="58">
        <v>0.313</v>
      </c>
      <c r="P61" s="58">
        <v>0.313</v>
      </c>
      <c r="Q61" s="58">
        <v>0.313</v>
      </c>
    </row>
    <row r="62" spans="1:17" s="112" customFormat="1" ht="33" customHeight="1" x14ac:dyDescent="0.25">
      <c r="A62" s="118" t="s">
        <v>719</v>
      </c>
      <c r="B62" s="118" t="s">
        <v>434</v>
      </c>
      <c r="C62" s="118">
        <v>26</v>
      </c>
      <c r="D62" s="119" t="s">
        <v>389</v>
      </c>
      <c r="E62" s="119" t="s">
        <v>397</v>
      </c>
      <c r="F62" s="221" t="s">
        <v>879</v>
      </c>
      <c r="G62" s="182">
        <f t="shared" si="1"/>
        <v>2</v>
      </c>
      <c r="H62" s="92">
        <v>2</v>
      </c>
      <c r="I62" s="58"/>
      <c r="J62" s="58"/>
      <c r="K62" s="58"/>
      <c r="L62" s="58"/>
      <c r="M62" s="58"/>
      <c r="N62" s="58"/>
      <c r="O62" s="58"/>
      <c r="P62" s="58"/>
      <c r="Q62" s="58"/>
    </row>
    <row r="63" spans="1:17" s="112" customFormat="1" ht="33" customHeight="1" x14ac:dyDescent="0.25">
      <c r="A63" s="118" t="s">
        <v>719</v>
      </c>
      <c r="B63" s="118" t="s">
        <v>434</v>
      </c>
      <c r="C63" s="118">
        <v>26</v>
      </c>
      <c r="D63" s="119" t="s">
        <v>389</v>
      </c>
      <c r="E63" s="119" t="s">
        <v>400</v>
      </c>
      <c r="F63" s="221" t="s">
        <v>391</v>
      </c>
      <c r="G63" s="182">
        <f t="shared" si="1"/>
        <v>2.2000000000000006</v>
      </c>
      <c r="H63" s="92">
        <v>1.3</v>
      </c>
      <c r="I63" s="58">
        <v>0.1</v>
      </c>
      <c r="J63" s="58">
        <v>0.1</v>
      </c>
      <c r="K63" s="58">
        <v>0.1</v>
      </c>
      <c r="L63" s="58">
        <v>0.1</v>
      </c>
      <c r="M63" s="58">
        <v>0.1</v>
      </c>
      <c r="N63" s="58">
        <v>0.1</v>
      </c>
      <c r="O63" s="58">
        <v>0.1</v>
      </c>
      <c r="P63" s="58">
        <v>0.1</v>
      </c>
      <c r="Q63" s="58">
        <v>0.1</v>
      </c>
    </row>
    <row r="64" spans="1:17" s="112" customFormat="1" ht="33" customHeight="1" x14ac:dyDescent="0.25">
      <c r="A64" s="118" t="s">
        <v>719</v>
      </c>
      <c r="B64" s="118" t="s">
        <v>434</v>
      </c>
      <c r="C64" s="118">
        <v>26</v>
      </c>
      <c r="D64" s="119" t="s">
        <v>389</v>
      </c>
      <c r="E64" s="119" t="s">
        <v>401</v>
      </c>
      <c r="F64" s="221" t="s">
        <v>81</v>
      </c>
      <c r="G64" s="182">
        <f t="shared" si="1"/>
        <v>4.9999999999999982</v>
      </c>
      <c r="H64" s="92">
        <v>2.2999999999999998</v>
      </c>
      <c r="I64" s="58">
        <v>0.3</v>
      </c>
      <c r="J64" s="58">
        <v>0.3</v>
      </c>
      <c r="K64" s="58">
        <v>0.3</v>
      </c>
      <c r="L64" s="58">
        <v>0.3</v>
      </c>
      <c r="M64" s="58">
        <v>0.3</v>
      </c>
      <c r="N64" s="58">
        <v>0.3</v>
      </c>
      <c r="O64" s="58">
        <v>0.3</v>
      </c>
      <c r="P64" s="58">
        <v>0.3</v>
      </c>
      <c r="Q64" s="58">
        <v>0.3</v>
      </c>
    </row>
    <row r="65" spans="1:17" s="112" customFormat="1" ht="33" customHeight="1" x14ac:dyDescent="0.25">
      <c r="A65" s="118" t="s">
        <v>719</v>
      </c>
      <c r="B65" s="118" t="s">
        <v>434</v>
      </c>
      <c r="C65" s="118">
        <v>27</v>
      </c>
      <c r="D65" s="119" t="s">
        <v>653</v>
      </c>
      <c r="E65" s="119" t="s">
        <v>400</v>
      </c>
      <c r="F65" s="221" t="s">
        <v>417</v>
      </c>
      <c r="G65" s="182">
        <f t="shared" si="1"/>
        <v>2.835</v>
      </c>
      <c r="H65" s="92">
        <v>2.835</v>
      </c>
      <c r="I65" s="58"/>
      <c r="J65" s="58"/>
      <c r="K65" s="58"/>
      <c r="L65" s="58"/>
      <c r="M65" s="58"/>
      <c r="N65" s="58"/>
      <c r="O65" s="58"/>
      <c r="P65" s="58"/>
      <c r="Q65" s="58"/>
    </row>
    <row r="66" spans="1:17" s="112" customFormat="1" ht="33" customHeight="1" x14ac:dyDescent="0.25">
      <c r="A66" s="118" t="s">
        <v>719</v>
      </c>
      <c r="B66" s="118" t="s">
        <v>434</v>
      </c>
      <c r="C66" s="118">
        <v>27</v>
      </c>
      <c r="D66" s="119" t="s">
        <v>653</v>
      </c>
      <c r="E66" s="119" t="s">
        <v>400</v>
      </c>
      <c r="F66" s="221" t="s">
        <v>992</v>
      </c>
      <c r="G66" s="182">
        <f t="shared" si="1"/>
        <v>4.6399999999999997</v>
      </c>
      <c r="H66" s="92">
        <v>4.6399999999999997</v>
      </c>
      <c r="I66" s="58"/>
      <c r="J66" s="58"/>
      <c r="K66" s="58"/>
      <c r="L66" s="58"/>
      <c r="M66" s="58"/>
      <c r="N66" s="58"/>
      <c r="O66" s="58"/>
      <c r="P66" s="58"/>
      <c r="Q66" s="58"/>
    </row>
    <row r="67" spans="1:17" s="112" customFormat="1" ht="33" customHeight="1" x14ac:dyDescent="0.25">
      <c r="A67" s="118" t="s">
        <v>719</v>
      </c>
      <c r="B67" s="118" t="s">
        <v>434</v>
      </c>
      <c r="C67" s="118">
        <v>27</v>
      </c>
      <c r="D67" s="119" t="s">
        <v>653</v>
      </c>
      <c r="E67" s="119" t="s">
        <v>400</v>
      </c>
      <c r="F67" s="221" t="s">
        <v>418</v>
      </c>
      <c r="G67" s="182">
        <f t="shared" si="1"/>
        <v>2.835</v>
      </c>
      <c r="H67" s="92">
        <v>2.835</v>
      </c>
      <c r="I67" s="58"/>
      <c r="J67" s="58"/>
      <c r="K67" s="58"/>
      <c r="L67" s="58"/>
      <c r="M67" s="58"/>
      <c r="N67" s="58"/>
      <c r="O67" s="58"/>
      <c r="P67" s="58"/>
      <c r="Q67" s="58"/>
    </row>
    <row r="68" spans="1:17" s="112" customFormat="1" ht="33" customHeight="1" x14ac:dyDescent="0.25">
      <c r="A68" s="118" t="s">
        <v>719</v>
      </c>
      <c r="B68" s="118" t="s">
        <v>434</v>
      </c>
      <c r="C68" s="118">
        <v>27</v>
      </c>
      <c r="D68" s="119" t="s">
        <v>653</v>
      </c>
      <c r="E68" s="119" t="s">
        <v>400</v>
      </c>
      <c r="F68" s="221" t="s">
        <v>880</v>
      </c>
      <c r="G68" s="182">
        <f t="shared" ref="G68:G99" si="2">SUM(H68:Q68)</f>
        <v>10.84</v>
      </c>
      <c r="H68" s="92">
        <v>10.84</v>
      </c>
      <c r="I68" s="58"/>
      <c r="J68" s="58"/>
      <c r="K68" s="58"/>
      <c r="L68" s="58"/>
      <c r="M68" s="58"/>
      <c r="N68" s="58"/>
      <c r="O68" s="58"/>
      <c r="P68" s="58"/>
      <c r="Q68" s="58"/>
    </row>
    <row r="69" spans="1:17" s="112" customFormat="1" ht="33" customHeight="1" x14ac:dyDescent="0.25">
      <c r="A69" s="118" t="s">
        <v>719</v>
      </c>
      <c r="B69" s="118" t="s">
        <v>434</v>
      </c>
      <c r="C69" s="118">
        <v>27</v>
      </c>
      <c r="D69" s="119" t="s">
        <v>653</v>
      </c>
      <c r="E69" s="119" t="s">
        <v>400</v>
      </c>
      <c r="F69" s="221" t="s">
        <v>881</v>
      </c>
      <c r="G69" s="182">
        <f t="shared" si="2"/>
        <v>8.4</v>
      </c>
      <c r="H69" s="92">
        <v>8.4</v>
      </c>
      <c r="I69" s="58"/>
      <c r="J69" s="58"/>
      <c r="K69" s="58"/>
      <c r="L69" s="58"/>
      <c r="M69" s="58"/>
      <c r="N69" s="58"/>
      <c r="O69" s="58"/>
      <c r="P69" s="58"/>
      <c r="Q69" s="58"/>
    </row>
    <row r="70" spans="1:17" s="112" customFormat="1" ht="33" customHeight="1" x14ac:dyDescent="0.25">
      <c r="A70" s="118" t="s">
        <v>719</v>
      </c>
      <c r="B70" s="118" t="s">
        <v>434</v>
      </c>
      <c r="C70" s="118">
        <v>28</v>
      </c>
      <c r="D70" s="119" t="s">
        <v>370</v>
      </c>
      <c r="E70" s="119" t="s">
        <v>118</v>
      </c>
      <c r="F70" s="221" t="s">
        <v>68</v>
      </c>
      <c r="G70" s="182">
        <f t="shared" si="2"/>
        <v>11.194999999999999</v>
      </c>
      <c r="H70" s="92"/>
      <c r="I70" s="58">
        <v>2.645</v>
      </c>
      <c r="J70" s="58">
        <v>1.655</v>
      </c>
      <c r="K70" s="58">
        <v>1.2549999999999999</v>
      </c>
      <c r="L70" s="58">
        <v>0.81499999999999995</v>
      </c>
      <c r="M70" s="58">
        <v>1.3049999999999999</v>
      </c>
      <c r="N70" s="58">
        <v>1.4450000000000001</v>
      </c>
      <c r="O70" s="58">
        <v>0.875</v>
      </c>
      <c r="P70" s="58">
        <v>0.61</v>
      </c>
      <c r="Q70" s="58">
        <v>0.59</v>
      </c>
    </row>
    <row r="71" spans="1:17" s="112" customFormat="1" ht="33" customHeight="1" x14ac:dyDescent="0.25">
      <c r="A71" s="118" t="s">
        <v>719</v>
      </c>
      <c r="B71" s="118" t="s">
        <v>434</v>
      </c>
      <c r="C71" s="118">
        <v>28</v>
      </c>
      <c r="D71" s="119" t="s">
        <v>370</v>
      </c>
      <c r="E71" s="119" t="s">
        <v>372</v>
      </c>
      <c r="F71" s="221" t="s">
        <v>70</v>
      </c>
      <c r="G71" s="182">
        <f t="shared" si="2"/>
        <v>6.8130000000000006</v>
      </c>
      <c r="H71" s="92"/>
      <c r="I71" s="58">
        <v>1.6830000000000001</v>
      </c>
      <c r="J71" s="58">
        <v>0.99299999999999999</v>
      </c>
      <c r="K71" s="58">
        <v>0.753</v>
      </c>
      <c r="L71" s="58">
        <v>0.48899999999999999</v>
      </c>
      <c r="M71" s="58">
        <v>0.78300000000000003</v>
      </c>
      <c r="N71" s="58">
        <v>0.86699999999999999</v>
      </c>
      <c r="O71" s="58">
        <v>0.52500000000000002</v>
      </c>
      <c r="P71" s="58">
        <v>0.36599999999999999</v>
      </c>
      <c r="Q71" s="58">
        <v>0.35399999999999998</v>
      </c>
    </row>
    <row r="72" spans="1:17" s="112" customFormat="1" ht="33" customHeight="1" x14ac:dyDescent="0.25">
      <c r="A72" s="118" t="s">
        <v>719</v>
      </c>
      <c r="B72" s="118" t="s">
        <v>434</v>
      </c>
      <c r="C72" s="118">
        <v>29</v>
      </c>
      <c r="D72" s="119" t="s">
        <v>373</v>
      </c>
      <c r="E72" s="119" t="s">
        <v>371</v>
      </c>
      <c r="F72" s="221" t="s">
        <v>72</v>
      </c>
      <c r="G72" s="182">
        <f t="shared" si="2"/>
        <v>22.389999999999997</v>
      </c>
      <c r="H72" s="92"/>
      <c r="I72" s="58">
        <v>5.29</v>
      </c>
      <c r="J72" s="58">
        <v>3.31</v>
      </c>
      <c r="K72" s="58">
        <v>2.5099999999999998</v>
      </c>
      <c r="L72" s="58">
        <v>1.63</v>
      </c>
      <c r="M72" s="58">
        <v>2.61</v>
      </c>
      <c r="N72" s="58">
        <v>2.89</v>
      </c>
      <c r="O72" s="58">
        <v>1.75</v>
      </c>
      <c r="P72" s="58">
        <v>1.22</v>
      </c>
      <c r="Q72" s="58">
        <v>1.18</v>
      </c>
    </row>
    <row r="73" spans="1:17" s="112" customFormat="1" ht="33" customHeight="1" x14ac:dyDescent="0.25">
      <c r="A73" s="118" t="s">
        <v>721</v>
      </c>
      <c r="B73" s="118" t="s">
        <v>433</v>
      </c>
      <c r="C73" s="118">
        <v>42</v>
      </c>
      <c r="D73" s="119" t="s">
        <v>380</v>
      </c>
      <c r="E73" s="119" t="s">
        <v>396</v>
      </c>
      <c r="F73" s="221" t="s">
        <v>49</v>
      </c>
      <c r="G73" s="182">
        <f t="shared" si="2"/>
        <v>63.440000000000005</v>
      </c>
      <c r="H73" s="92"/>
      <c r="I73" s="58">
        <v>28.52</v>
      </c>
      <c r="J73" s="58">
        <v>9.36</v>
      </c>
      <c r="K73" s="58">
        <v>5.32</v>
      </c>
      <c r="L73" s="58">
        <v>4.16</v>
      </c>
      <c r="M73" s="58">
        <v>3.64</v>
      </c>
      <c r="N73" s="58">
        <v>5.34</v>
      </c>
      <c r="O73" s="58">
        <v>2.64</v>
      </c>
      <c r="P73" s="58">
        <v>2.62</v>
      </c>
      <c r="Q73" s="58">
        <v>1.84</v>
      </c>
    </row>
    <row r="74" spans="1:17" s="112" customFormat="1" ht="33" customHeight="1" x14ac:dyDescent="0.25">
      <c r="A74" s="118" t="s">
        <v>721</v>
      </c>
      <c r="B74" s="118" t="s">
        <v>433</v>
      </c>
      <c r="C74" s="118">
        <v>42</v>
      </c>
      <c r="D74" s="119" t="s">
        <v>380</v>
      </c>
      <c r="E74" s="119" t="s">
        <v>396</v>
      </c>
      <c r="F74" s="221" t="s">
        <v>50</v>
      </c>
      <c r="G74" s="182">
        <f t="shared" si="2"/>
        <v>10.324999999999999</v>
      </c>
      <c r="H74" s="92"/>
      <c r="I74" s="58">
        <v>4.9450000000000003</v>
      </c>
      <c r="J74" s="58">
        <v>2.12</v>
      </c>
      <c r="K74" s="58"/>
      <c r="L74" s="58"/>
      <c r="M74" s="58"/>
      <c r="N74" s="58">
        <v>3.26</v>
      </c>
      <c r="O74" s="58"/>
      <c r="P74" s="58"/>
      <c r="Q74" s="58"/>
    </row>
    <row r="75" spans="1:17" s="112" customFormat="1" ht="33" customHeight="1" x14ac:dyDescent="0.25">
      <c r="A75" s="118" t="s">
        <v>721</v>
      </c>
      <c r="B75" s="118" t="s">
        <v>433</v>
      </c>
      <c r="C75" s="118">
        <v>42</v>
      </c>
      <c r="D75" s="119" t="s">
        <v>380</v>
      </c>
      <c r="E75" s="119" t="s">
        <v>400</v>
      </c>
      <c r="F75" s="221" t="s">
        <v>76</v>
      </c>
      <c r="G75" s="182">
        <f t="shared" si="2"/>
        <v>3.98</v>
      </c>
      <c r="H75" s="92">
        <v>3.98</v>
      </c>
      <c r="I75" s="58"/>
      <c r="J75" s="58"/>
      <c r="K75" s="58"/>
      <c r="L75" s="58"/>
      <c r="M75" s="58"/>
      <c r="N75" s="58"/>
      <c r="O75" s="58"/>
      <c r="P75" s="58"/>
      <c r="Q75" s="58"/>
    </row>
    <row r="76" spans="1:17" s="112" customFormat="1" ht="33" customHeight="1" x14ac:dyDescent="0.25">
      <c r="A76" s="118" t="s">
        <v>721</v>
      </c>
      <c r="B76" s="118" t="s">
        <v>433</v>
      </c>
      <c r="C76" s="118">
        <v>43</v>
      </c>
      <c r="D76" s="119" t="s">
        <v>681</v>
      </c>
      <c r="E76" s="119" t="s">
        <v>396</v>
      </c>
      <c r="F76" s="221" t="s">
        <v>51</v>
      </c>
      <c r="G76" s="182">
        <f t="shared" si="2"/>
        <v>0.04</v>
      </c>
      <c r="H76" s="92"/>
      <c r="I76" s="58">
        <v>0.04</v>
      </c>
      <c r="J76" s="58"/>
      <c r="K76" s="58"/>
      <c r="L76" s="58"/>
      <c r="M76" s="58"/>
      <c r="N76" s="58"/>
      <c r="O76" s="58"/>
      <c r="P76" s="58"/>
      <c r="Q76" s="58"/>
    </row>
    <row r="77" spans="1:17" s="112" customFormat="1" ht="33" customHeight="1" x14ac:dyDescent="0.25">
      <c r="A77" s="118" t="s">
        <v>721</v>
      </c>
      <c r="B77" s="118" t="s">
        <v>433</v>
      </c>
      <c r="C77" s="118">
        <v>44</v>
      </c>
      <c r="D77" s="119" t="s">
        <v>382</v>
      </c>
      <c r="E77" s="119" t="s">
        <v>396</v>
      </c>
      <c r="F77" s="221" t="s">
        <v>52</v>
      </c>
      <c r="G77" s="182">
        <f t="shared" si="2"/>
        <v>0.48000000000000004</v>
      </c>
      <c r="H77" s="92"/>
      <c r="I77" s="58">
        <v>0.14499999999999999</v>
      </c>
      <c r="J77" s="58">
        <v>0.06</v>
      </c>
      <c r="K77" s="58">
        <v>5.6000000000000001E-2</v>
      </c>
      <c r="L77" s="58">
        <v>0.04</v>
      </c>
      <c r="M77" s="58">
        <v>2.5000000000000001E-2</v>
      </c>
      <c r="N77" s="58">
        <v>5.3999999999999999E-2</v>
      </c>
      <c r="O77" s="58">
        <v>2.5999999999999999E-2</v>
      </c>
      <c r="P77" s="58">
        <v>3.4000000000000002E-2</v>
      </c>
      <c r="Q77" s="58">
        <v>0.04</v>
      </c>
    </row>
    <row r="78" spans="1:17" s="112" customFormat="1" ht="33" customHeight="1" x14ac:dyDescent="0.25">
      <c r="A78" s="118" t="s">
        <v>721</v>
      </c>
      <c r="B78" s="118" t="s">
        <v>433</v>
      </c>
      <c r="C78" s="118">
        <v>44</v>
      </c>
      <c r="D78" s="119" t="s">
        <v>382</v>
      </c>
      <c r="E78" s="119" t="s">
        <v>396</v>
      </c>
      <c r="F78" s="221" t="s">
        <v>53</v>
      </c>
      <c r="G78" s="182">
        <f t="shared" si="2"/>
        <v>3.27</v>
      </c>
      <c r="H78" s="92"/>
      <c r="I78" s="58">
        <v>0.90600000000000003</v>
      </c>
      <c r="J78" s="58">
        <v>0.27</v>
      </c>
      <c r="K78" s="58">
        <v>0.63</v>
      </c>
      <c r="L78" s="58">
        <v>0.189</v>
      </c>
      <c r="M78" s="58">
        <v>0.26700000000000002</v>
      </c>
      <c r="N78" s="58">
        <v>0.23699999999999999</v>
      </c>
      <c r="O78" s="58">
        <v>0.26700000000000002</v>
      </c>
      <c r="P78" s="58">
        <v>0.3</v>
      </c>
      <c r="Q78" s="58">
        <v>0.20399999999999999</v>
      </c>
    </row>
    <row r="79" spans="1:17" s="112" customFormat="1" ht="33" customHeight="1" x14ac:dyDescent="0.25">
      <c r="A79" s="118" t="s">
        <v>721</v>
      </c>
      <c r="B79" s="118" t="s">
        <v>433</v>
      </c>
      <c r="C79" s="118">
        <v>44</v>
      </c>
      <c r="D79" s="119" t="s">
        <v>382</v>
      </c>
      <c r="E79" s="119" t="s">
        <v>396</v>
      </c>
      <c r="F79" s="221" t="s">
        <v>54</v>
      </c>
      <c r="G79" s="182">
        <f t="shared" si="2"/>
        <v>0.28200000000000003</v>
      </c>
      <c r="H79" s="92"/>
      <c r="I79" s="58">
        <v>3.3000000000000002E-2</v>
      </c>
      <c r="J79" s="58">
        <v>6.3E-2</v>
      </c>
      <c r="K79" s="58">
        <v>1.7999999999999999E-2</v>
      </c>
      <c r="L79" s="58">
        <v>3.3000000000000002E-2</v>
      </c>
      <c r="M79" s="58">
        <v>6.3E-2</v>
      </c>
      <c r="N79" s="58">
        <v>1.7999999999999999E-2</v>
      </c>
      <c r="O79" s="58">
        <v>1.7999999999999999E-2</v>
      </c>
      <c r="P79" s="58">
        <v>1.7999999999999999E-2</v>
      </c>
      <c r="Q79" s="58">
        <v>1.7999999999999999E-2</v>
      </c>
    </row>
    <row r="80" spans="1:17" s="112" customFormat="1" ht="33" customHeight="1" x14ac:dyDescent="0.25">
      <c r="A80" s="118" t="s">
        <v>721</v>
      </c>
      <c r="B80" s="118" t="s">
        <v>433</v>
      </c>
      <c r="C80" s="118">
        <v>44</v>
      </c>
      <c r="D80" s="119" t="s">
        <v>382</v>
      </c>
      <c r="E80" s="119" t="s">
        <v>398</v>
      </c>
      <c r="F80" s="119" t="s">
        <v>265</v>
      </c>
      <c r="G80" s="182">
        <f t="shared" si="2"/>
        <v>0.93</v>
      </c>
      <c r="H80" s="92">
        <v>0.93</v>
      </c>
      <c r="I80" s="58"/>
      <c r="J80" s="58"/>
      <c r="K80" s="58"/>
      <c r="L80" s="58"/>
      <c r="M80" s="58"/>
      <c r="N80" s="58"/>
      <c r="O80" s="58"/>
      <c r="P80" s="58"/>
      <c r="Q80" s="58"/>
    </row>
    <row r="81" spans="1:17" s="112" customFormat="1" ht="33" customHeight="1" x14ac:dyDescent="0.25">
      <c r="A81" s="118" t="s">
        <v>721</v>
      </c>
      <c r="B81" s="118" t="s">
        <v>433</v>
      </c>
      <c r="C81" s="118">
        <v>44</v>
      </c>
      <c r="D81" s="119" t="s">
        <v>382</v>
      </c>
      <c r="E81" s="119" t="s">
        <v>398</v>
      </c>
      <c r="F81" s="119" t="s">
        <v>266</v>
      </c>
      <c r="G81" s="182">
        <f t="shared" si="2"/>
        <v>0.08</v>
      </c>
      <c r="H81" s="92">
        <v>0.08</v>
      </c>
      <c r="I81" s="58"/>
      <c r="J81" s="58"/>
      <c r="K81" s="58"/>
      <c r="L81" s="58"/>
      <c r="M81" s="58"/>
      <c r="N81" s="58"/>
      <c r="O81" s="58"/>
      <c r="P81" s="58"/>
      <c r="Q81" s="58"/>
    </row>
    <row r="82" spans="1:17" s="112" customFormat="1" ht="33" customHeight="1" x14ac:dyDescent="0.25">
      <c r="A82" s="118" t="s">
        <v>721</v>
      </c>
      <c r="B82" s="118" t="s">
        <v>433</v>
      </c>
      <c r="C82" s="118">
        <v>44</v>
      </c>
      <c r="D82" s="119" t="s">
        <v>382</v>
      </c>
      <c r="E82" s="119" t="s">
        <v>397</v>
      </c>
      <c r="F82" s="221" t="s">
        <v>655</v>
      </c>
      <c r="G82" s="182">
        <f t="shared" si="2"/>
        <v>0.9</v>
      </c>
      <c r="H82" s="92">
        <v>0.9</v>
      </c>
      <c r="I82" s="58"/>
      <c r="J82" s="58"/>
      <c r="K82" s="58"/>
      <c r="L82" s="58"/>
      <c r="M82" s="58"/>
      <c r="N82" s="58"/>
      <c r="O82" s="58"/>
      <c r="P82" s="58"/>
      <c r="Q82" s="58"/>
    </row>
    <row r="83" spans="1:17" s="112" customFormat="1" ht="31.5" x14ac:dyDescent="0.25">
      <c r="A83" s="118" t="s">
        <v>721</v>
      </c>
      <c r="B83" s="118" t="s">
        <v>433</v>
      </c>
      <c r="C83" s="118">
        <v>44</v>
      </c>
      <c r="D83" s="119" t="s">
        <v>382</v>
      </c>
      <c r="E83" s="119" t="s">
        <v>400</v>
      </c>
      <c r="F83" s="221" t="s">
        <v>113</v>
      </c>
      <c r="G83" s="182">
        <f t="shared" si="2"/>
        <v>2.4</v>
      </c>
      <c r="H83" s="92">
        <v>2.4</v>
      </c>
      <c r="I83" s="58"/>
      <c r="J83" s="58"/>
      <c r="K83" s="58"/>
      <c r="L83" s="58"/>
      <c r="M83" s="58"/>
      <c r="N83" s="58"/>
      <c r="O83" s="58"/>
      <c r="P83" s="58"/>
      <c r="Q83" s="58"/>
    </row>
    <row r="84" spans="1:17" s="112" customFormat="1" ht="33" customHeight="1" x14ac:dyDescent="0.25">
      <c r="A84" s="118" t="s">
        <v>721</v>
      </c>
      <c r="B84" s="118" t="s">
        <v>433</v>
      </c>
      <c r="C84" s="118">
        <v>44</v>
      </c>
      <c r="D84" s="119" t="s">
        <v>382</v>
      </c>
      <c r="E84" s="119" t="s">
        <v>400</v>
      </c>
      <c r="F84" s="221" t="s">
        <v>74</v>
      </c>
      <c r="G84" s="182">
        <f t="shared" si="2"/>
        <v>1.52</v>
      </c>
      <c r="H84" s="92">
        <v>1.52</v>
      </c>
      <c r="I84" s="58"/>
      <c r="J84" s="58"/>
      <c r="K84" s="58"/>
      <c r="L84" s="58"/>
      <c r="M84" s="58"/>
      <c r="N84" s="58"/>
      <c r="O84" s="58"/>
      <c r="P84" s="58"/>
      <c r="Q84" s="58"/>
    </row>
    <row r="85" spans="1:17" s="112" customFormat="1" ht="33" customHeight="1" x14ac:dyDescent="0.25">
      <c r="A85" s="118" t="s">
        <v>721</v>
      </c>
      <c r="B85" s="118" t="s">
        <v>433</v>
      </c>
      <c r="C85" s="118">
        <v>44</v>
      </c>
      <c r="D85" s="119" t="s">
        <v>382</v>
      </c>
      <c r="E85" s="119" t="s">
        <v>400</v>
      </c>
      <c r="F85" s="221" t="s">
        <v>75</v>
      </c>
      <c r="G85" s="182">
        <f t="shared" si="2"/>
        <v>2.4</v>
      </c>
      <c r="H85" s="92">
        <v>2.4</v>
      </c>
      <c r="I85" s="58"/>
      <c r="J85" s="58"/>
      <c r="K85" s="58"/>
      <c r="L85" s="58"/>
      <c r="M85" s="58"/>
      <c r="N85" s="58"/>
      <c r="O85" s="58"/>
      <c r="P85" s="58"/>
      <c r="Q85" s="58"/>
    </row>
    <row r="86" spans="1:17" s="112" customFormat="1" ht="33" customHeight="1" x14ac:dyDescent="0.25">
      <c r="A86" s="118" t="s">
        <v>721</v>
      </c>
      <c r="B86" s="118" t="s">
        <v>433</v>
      </c>
      <c r="C86" s="118">
        <v>45</v>
      </c>
      <c r="D86" s="119" t="s">
        <v>682</v>
      </c>
      <c r="E86" s="119" t="s">
        <v>396</v>
      </c>
      <c r="F86" s="221" t="s">
        <v>366</v>
      </c>
      <c r="G86" s="182">
        <f t="shared" si="2"/>
        <v>5.9</v>
      </c>
      <c r="H86" s="92"/>
      <c r="I86" s="58">
        <v>0.5</v>
      </c>
      <c r="J86" s="58">
        <v>0.45</v>
      </c>
      <c r="K86" s="58">
        <v>0.65</v>
      </c>
      <c r="L86" s="58">
        <v>0.35</v>
      </c>
      <c r="M86" s="58">
        <v>1</v>
      </c>
      <c r="N86" s="58">
        <v>1</v>
      </c>
      <c r="O86" s="58">
        <v>1</v>
      </c>
      <c r="P86" s="58">
        <v>0.55000000000000004</v>
      </c>
      <c r="Q86" s="58">
        <v>0.4</v>
      </c>
    </row>
    <row r="87" spans="1:17" s="112" customFormat="1" ht="33" customHeight="1" x14ac:dyDescent="0.25">
      <c r="A87" s="118" t="s">
        <v>721</v>
      </c>
      <c r="B87" s="118" t="s">
        <v>433</v>
      </c>
      <c r="C87" s="118">
        <v>45</v>
      </c>
      <c r="D87" s="119" t="s">
        <v>682</v>
      </c>
      <c r="E87" s="119" t="s">
        <v>398</v>
      </c>
      <c r="F87" s="221" t="s">
        <v>366</v>
      </c>
      <c r="G87" s="182">
        <f t="shared" si="2"/>
        <v>5.9</v>
      </c>
      <c r="H87" s="92"/>
      <c r="I87" s="58">
        <v>0.5</v>
      </c>
      <c r="J87" s="58">
        <v>0.45</v>
      </c>
      <c r="K87" s="58">
        <v>0.65</v>
      </c>
      <c r="L87" s="58">
        <v>0.35</v>
      </c>
      <c r="M87" s="58">
        <v>1</v>
      </c>
      <c r="N87" s="58">
        <v>1</v>
      </c>
      <c r="O87" s="58">
        <v>1</v>
      </c>
      <c r="P87" s="58">
        <v>0.55000000000000004</v>
      </c>
      <c r="Q87" s="58">
        <v>0.4</v>
      </c>
    </row>
    <row r="88" spans="1:17" s="112" customFormat="1" ht="33" customHeight="1" x14ac:dyDescent="0.25">
      <c r="A88" s="118" t="s">
        <v>721</v>
      </c>
      <c r="B88" s="118" t="s">
        <v>433</v>
      </c>
      <c r="C88" s="118">
        <v>46</v>
      </c>
      <c r="D88" s="119" t="s">
        <v>381</v>
      </c>
      <c r="E88" s="119" t="s">
        <v>398</v>
      </c>
      <c r="F88" s="221" t="s">
        <v>693</v>
      </c>
      <c r="G88" s="182">
        <f t="shared" si="2"/>
        <v>3.27</v>
      </c>
      <c r="H88" s="92">
        <v>3.27</v>
      </c>
      <c r="I88" s="273"/>
      <c r="J88" s="273"/>
      <c r="K88" s="273"/>
      <c r="L88" s="273"/>
      <c r="M88" s="273"/>
      <c r="N88" s="273"/>
      <c r="O88" s="273"/>
      <c r="P88" s="273"/>
      <c r="Q88" s="273"/>
    </row>
    <row r="89" spans="1:17" s="112" customFormat="1" ht="33" customHeight="1" x14ac:dyDescent="0.25">
      <c r="A89" s="118" t="s">
        <v>721</v>
      </c>
      <c r="B89" s="118" t="s">
        <v>433</v>
      </c>
      <c r="C89" s="118">
        <v>46</v>
      </c>
      <c r="D89" s="119" t="s">
        <v>381</v>
      </c>
      <c r="E89" s="119" t="s">
        <v>398</v>
      </c>
      <c r="F89" s="221" t="s">
        <v>694</v>
      </c>
      <c r="G89" s="182">
        <f t="shared" si="2"/>
        <v>1.52</v>
      </c>
      <c r="H89" s="92">
        <v>1.52</v>
      </c>
      <c r="I89" s="273"/>
      <c r="J89" s="273"/>
      <c r="K89" s="273"/>
      <c r="L89" s="273"/>
      <c r="M89" s="273"/>
      <c r="N89" s="273"/>
      <c r="O89" s="273"/>
      <c r="P89" s="273"/>
      <c r="Q89" s="273"/>
    </row>
    <row r="90" spans="1:17" s="112" customFormat="1" ht="33" customHeight="1" x14ac:dyDescent="0.25">
      <c r="A90" s="118" t="s">
        <v>721</v>
      </c>
      <c r="B90" s="118" t="s">
        <v>433</v>
      </c>
      <c r="C90" s="118">
        <v>46</v>
      </c>
      <c r="D90" s="119" t="s">
        <v>381</v>
      </c>
      <c r="E90" s="119" t="s">
        <v>401</v>
      </c>
      <c r="F90" s="221" t="s">
        <v>367</v>
      </c>
      <c r="G90" s="182">
        <f t="shared" si="2"/>
        <v>9</v>
      </c>
      <c r="H90" s="92"/>
      <c r="I90" s="58">
        <v>1</v>
      </c>
      <c r="J90" s="58">
        <v>1</v>
      </c>
      <c r="K90" s="58">
        <v>1</v>
      </c>
      <c r="L90" s="58">
        <v>1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</row>
    <row r="91" spans="1:17" s="112" customFormat="1" ht="33" customHeight="1" x14ac:dyDescent="0.25">
      <c r="A91" s="118" t="s">
        <v>721</v>
      </c>
      <c r="B91" s="118" t="s">
        <v>433</v>
      </c>
      <c r="C91" s="118">
        <v>46</v>
      </c>
      <c r="D91" s="119" t="s">
        <v>381</v>
      </c>
      <c r="E91" s="119" t="s">
        <v>118</v>
      </c>
      <c r="F91" s="221" t="s">
        <v>683</v>
      </c>
      <c r="G91" s="182">
        <f t="shared" si="2"/>
        <v>8.1820000000000004</v>
      </c>
      <c r="H91" s="92">
        <v>8.1820000000000004</v>
      </c>
      <c r="I91" s="273"/>
      <c r="J91" s="273"/>
      <c r="K91" s="273"/>
      <c r="L91" s="273"/>
      <c r="M91" s="273"/>
      <c r="N91" s="273"/>
      <c r="O91" s="273"/>
      <c r="P91" s="273"/>
      <c r="Q91" s="273"/>
    </row>
    <row r="92" spans="1:17" s="112" customFormat="1" ht="33" customHeight="1" x14ac:dyDescent="0.25">
      <c r="A92" s="118" t="s">
        <v>721</v>
      </c>
      <c r="B92" s="118" t="s">
        <v>433</v>
      </c>
      <c r="C92" s="118">
        <v>46</v>
      </c>
      <c r="D92" s="119" t="s">
        <v>381</v>
      </c>
      <c r="E92" s="119" t="s">
        <v>371</v>
      </c>
      <c r="F92" s="221" t="s">
        <v>684</v>
      </c>
      <c r="G92" s="182">
        <f t="shared" si="2"/>
        <v>22.73</v>
      </c>
      <c r="H92" s="92">
        <v>22.73</v>
      </c>
      <c r="I92" s="273"/>
      <c r="J92" s="273"/>
      <c r="K92" s="273"/>
      <c r="L92" s="273"/>
      <c r="M92" s="273"/>
      <c r="N92" s="273"/>
      <c r="O92" s="273"/>
      <c r="P92" s="273"/>
      <c r="Q92" s="273"/>
    </row>
    <row r="93" spans="1:17" s="112" customFormat="1" ht="33" customHeight="1" x14ac:dyDescent="0.25">
      <c r="A93" s="118" t="s">
        <v>721</v>
      </c>
      <c r="B93" s="118" t="s">
        <v>433</v>
      </c>
      <c r="C93" s="118">
        <v>46</v>
      </c>
      <c r="D93" s="119" t="s">
        <v>381</v>
      </c>
      <c r="E93" s="119" t="s">
        <v>371</v>
      </c>
      <c r="F93" s="221" t="s">
        <v>685</v>
      </c>
      <c r="G93" s="182">
        <f t="shared" si="2"/>
        <v>21.753</v>
      </c>
      <c r="H93" s="92">
        <v>21.753</v>
      </c>
      <c r="I93" s="58"/>
      <c r="J93" s="58"/>
      <c r="K93" s="58"/>
      <c r="L93" s="58"/>
      <c r="M93" s="58"/>
      <c r="N93" s="58"/>
      <c r="O93" s="58"/>
      <c r="P93" s="58"/>
      <c r="Q93" s="58"/>
    </row>
    <row r="94" spans="1:17" s="112" customFormat="1" ht="33" customHeight="1" x14ac:dyDescent="0.25">
      <c r="A94" s="118" t="s">
        <v>721</v>
      </c>
      <c r="B94" s="118" t="s">
        <v>433</v>
      </c>
      <c r="C94" s="118">
        <v>46</v>
      </c>
      <c r="D94" s="119" t="s">
        <v>381</v>
      </c>
      <c r="E94" s="119" t="s">
        <v>371</v>
      </c>
      <c r="F94" s="221" t="s">
        <v>686</v>
      </c>
      <c r="G94" s="182">
        <f t="shared" si="2"/>
        <v>2.16</v>
      </c>
      <c r="H94" s="92"/>
      <c r="I94" s="58">
        <v>0.24</v>
      </c>
      <c r="J94" s="58">
        <v>0.24</v>
      </c>
      <c r="K94" s="58">
        <v>0.24</v>
      </c>
      <c r="L94" s="58">
        <v>0.24</v>
      </c>
      <c r="M94" s="58">
        <v>0.24</v>
      </c>
      <c r="N94" s="58">
        <v>0.24</v>
      </c>
      <c r="O94" s="58">
        <v>0.24</v>
      </c>
      <c r="P94" s="58">
        <v>0.24</v>
      </c>
      <c r="Q94" s="58">
        <v>0.24</v>
      </c>
    </row>
    <row r="95" spans="1:17" s="112" customFormat="1" ht="33" customHeight="1" x14ac:dyDescent="0.25">
      <c r="A95" s="118" t="s">
        <v>721</v>
      </c>
      <c r="B95" s="118" t="s">
        <v>433</v>
      </c>
      <c r="C95" s="118">
        <v>46</v>
      </c>
      <c r="D95" s="119" t="s">
        <v>381</v>
      </c>
      <c r="E95" s="119" t="s">
        <v>371</v>
      </c>
      <c r="F95" s="221" t="s">
        <v>368</v>
      </c>
      <c r="G95" s="182">
        <f t="shared" si="2"/>
        <v>2.25</v>
      </c>
      <c r="H95" s="92"/>
      <c r="I95" s="58">
        <v>0.25</v>
      </c>
      <c r="J95" s="58">
        <v>0.25</v>
      </c>
      <c r="K95" s="58">
        <v>0.25</v>
      </c>
      <c r="L95" s="58">
        <v>0.25</v>
      </c>
      <c r="M95" s="58">
        <v>0.25</v>
      </c>
      <c r="N95" s="58">
        <v>0.25</v>
      </c>
      <c r="O95" s="58">
        <v>0.25</v>
      </c>
      <c r="P95" s="58">
        <v>0.25</v>
      </c>
      <c r="Q95" s="58">
        <v>0.25</v>
      </c>
    </row>
    <row r="96" spans="1:17" s="112" customFormat="1" ht="33" customHeight="1" x14ac:dyDescent="0.25">
      <c r="A96" s="118" t="s">
        <v>721</v>
      </c>
      <c r="B96" s="118" t="s">
        <v>433</v>
      </c>
      <c r="C96" s="118">
        <v>47</v>
      </c>
      <c r="D96" s="119" t="s">
        <v>383</v>
      </c>
      <c r="E96" s="119" t="s">
        <v>396</v>
      </c>
      <c r="F96" s="221" t="s">
        <v>55</v>
      </c>
      <c r="G96" s="182">
        <f t="shared" si="2"/>
        <v>4.9999999999999991</v>
      </c>
      <c r="H96" s="92">
        <v>2</v>
      </c>
      <c r="I96" s="58">
        <v>0.6</v>
      </c>
      <c r="J96" s="58">
        <v>0.3</v>
      </c>
      <c r="K96" s="58">
        <v>0.3</v>
      </c>
      <c r="L96" s="58">
        <v>0.3</v>
      </c>
      <c r="M96" s="58">
        <v>0.3</v>
      </c>
      <c r="N96" s="58">
        <v>0.3</v>
      </c>
      <c r="O96" s="58">
        <v>0.3</v>
      </c>
      <c r="P96" s="58">
        <v>0.3</v>
      </c>
      <c r="Q96" s="58">
        <v>0.3</v>
      </c>
    </row>
    <row r="97" spans="1:17" s="112" customFormat="1" ht="33" customHeight="1" x14ac:dyDescent="0.25">
      <c r="A97" s="118" t="s">
        <v>721</v>
      </c>
      <c r="B97" s="118" t="s">
        <v>433</v>
      </c>
      <c r="C97" s="118">
        <v>49</v>
      </c>
      <c r="D97" s="119" t="s">
        <v>656</v>
      </c>
      <c r="E97" s="119" t="s">
        <v>401</v>
      </c>
      <c r="F97" s="221" t="s">
        <v>82</v>
      </c>
      <c r="G97" s="182">
        <f t="shared" si="2"/>
        <v>4.0199999999999996</v>
      </c>
      <c r="H97" s="92">
        <v>0.42</v>
      </c>
      <c r="I97" s="58">
        <v>0.4</v>
      </c>
      <c r="J97" s="58">
        <v>0.4</v>
      </c>
      <c r="K97" s="58">
        <v>0.4</v>
      </c>
      <c r="L97" s="58">
        <v>0.4</v>
      </c>
      <c r="M97" s="58">
        <v>0.4</v>
      </c>
      <c r="N97" s="58">
        <v>0.4</v>
      </c>
      <c r="O97" s="58">
        <v>0.4</v>
      </c>
      <c r="P97" s="58">
        <v>0.4</v>
      </c>
      <c r="Q97" s="58">
        <v>0.4</v>
      </c>
    </row>
    <row r="98" spans="1:17" s="112" customFormat="1" ht="33" customHeight="1" x14ac:dyDescent="0.25">
      <c r="A98" s="118" t="s">
        <v>721</v>
      </c>
      <c r="B98" s="118" t="s">
        <v>433</v>
      </c>
      <c r="C98" s="118">
        <v>49</v>
      </c>
      <c r="D98" s="119" t="s">
        <v>656</v>
      </c>
      <c r="E98" s="119" t="s">
        <v>401</v>
      </c>
      <c r="F98" s="221" t="s">
        <v>83</v>
      </c>
      <c r="G98" s="182">
        <f t="shared" si="2"/>
        <v>1.26</v>
      </c>
      <c r="H98" s="92">
        <v>0.45</v>
      </c>
      <c r="I98" s="58">
        <v>0.09</v>
      </c>
      <c r="J98" s="58">
        <v>0.09</v>
      </c>
      <c r="K98" s="58">
        <v>0.09</v>
      </c>
      <c r="L98" s="58">
        <v>0.09</v>
      </c>
      <c r="M98" s="58">
        <v>0.09</v>
      </c>
      <c r="N98" s="58">
        <v>0.09</v>
      </c>
      <c r="O98" s="58">
        <v>0.09</v>
      </c>
      <c r="P98" s="58">
        <v>0.09</v>
      </c>
      <c r="Q98" s="58">
        <v>0.09</v>
      </c>
    </row>
    <row r="99" spans="1:17" s="112" customFormat="1" ht="33" customHeight="1" x14ac:dyDescent="0.25">
      <c r="A99" s="118" t="s">
        <v>721</v>
      </c>
      <c r="B99" s="118" t="s">
        <v>433</v>
      </c>
      <c r="C99" s="118">
        <v>50</v>
      </c>
      <c r="D99" s="119" t="s">
        <v>384</v>
      </c>
      <c r="E99" s="119" t="s">
        <v>371</v>
      </c>
      <c r="F99" s="221" t="s">
        <v>59</v>
      </c>
      <c r="G99" s="182">
        <f t="shared" si="2"/>
        <v>3</v>
      </c>
      <c r="H99" s="92">
        <v>3</v>
      </c>
      <c r="I99" s="58"/>
      <c r="J99" s="58"/>
      <c r="K99" s="58"/>
      <c r="L99" s="58"/>
      <c r="M99" s="58"/>
      <c r="N99" s="58"/>
      <c r="O99" s="58"/>
      <c r="P99" s="58"/>
      <c r="Q99" s="58"/>
    </row>
    <row r="100" spans="1:17" s="112" customFormat="1" ht="33" customHeight="1" x14ac:dyDescent="0.25">
      <c r="A100" s="118" t="s">
        <v>721</v>
      </c>
      <c r="B100" s="118" t="s">
        <v>433</v>
      </c>
      <c r="C100" s="118">
        <v>50</v>
      </c>
      <c r="D100" s="119" t="s">
        <v>384</v>
      </c>
      <c r="E100" s="119" t="s">
        <v>398</v>
      </c>
      <c r="F100" s="119" t="s">
        <v>267</v>
      </c>
      <c r="G100" s="182">
        <f t="shared" ref="G100:G126" si="3">SUM(H100:Q100)</f>
        <v>1.55</v>
      </c>
      <c r="H100" s="92">
        <v>1.55</v>
      </c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1:17" s="112" customFormat="1" ht="33" customHeight="1" x14ac:dyDescent="0.25">
      <c r="A101" s="118" t="s">
        <v>721</v>
      </c>
      <c r="B101" s="118" t="s">
        <v>433</v>
      </c>
      <c r="C101" s="118">
        <v>50</v>
      </c>
      <c r="D101" s="119" t="s">
        <v>384</v>
      </c>
      <c r="E101" s="119" t="s">
        <v>398</v>
      </c>
      <c r="F101" s="119" t="s">
        <v>268</v>
      </c>
      <c r="G101" s="182">
        <f t="shared" si="3"/>
        <v>1.482</v>
      </c>
      <c r="H101" s="92">
        <v>1.482</v>
      </c>
      <c r="I101" s="54"/>
      <c r="J101" s="54"/>
      <c r="K101" s="54"/>
      <c r="L101" s="54"/>
      <c r="M101" s="54"/>
      <c r="N101" s="54"/>
      <c r="O101" s="54"/>
      <c r="P101" s="54"/>
      <c r="Q101" s="54"/>
    </row>
    <row r="102" spans="1:17" s="112" customFormat="1" ht="33" customHeight="1" x14ac:dyDescent="0.25">
      <c r="A102" s="118" t="s">
        <v>721</v>
      </c>
      <c r="B102" s="118" t="s">
        <v>433</v>
      </c>
      <c r="C102" s="118">
        <v>50</v>
      </c>
      <c r="D102" s="119" t="s">
        <v>384</v>
      </c>
      <c r="E102" s="119" t="s">
        <v>401</v>
      </c>
      <c r="F102" s="221" t="s">
        <v>114</v>
      </c>
      <c r="G102" s="182">
        <f t="shared" si="3"/>
        <v>1.956</v>
      </c>
      <c r="H102" s="92">
        <v>1.956</v>
      </c>
      <c r="I102" s="92"/>
      <c r="J102" s="92"/>
      <c r="K102" s="92"/>
      <c r="L102" s="92"/>
      <c r="M102" s="92"/>
      <c r="N102" s="92"/>
      <c r="O102" s="92"/>
      <c r="P102" s="92"/>
      <c r="Q102" s="92"/>
    </row>
    <row r="103" spans="1:17" s="112" customFormat="1" ht="33" customHeight="1" x14ac:dyDescent="0.25">
      <c r="A103" s="118" t="s">
        <v>721</v>
      </c>
      <c r="B103" s="118" t="s">
        <v>433</v>
      </c>
      <c r="C103" s="118">
        <v>50</v>
      </c>
      <c r="D103" s="119" t="s">
        <v>384</v>
      </c>
      <c r="E103" s="119" t="s">
        <v>401</v>
      </c>
      <c r="F103" s="221" t="s">
        <v>90</v>
      </c>
      <c r="G103" s="182">
        <f t="shared" si="3"/>
        <v>1.929</v>
      </c>
      <c r="H103" s="92">
        <v>1.929</v>
      </c>
      <c r="I103" s="92"/>
      <c r="J103" s="92"/>
      <c r="K103" s="92"/>
      <c r="L103" s="92"/>
      <c r="M103" s="92"/>
      <c r="N103" s="92"/>
      <c r="O103" s="92"/>
      <c r="P103" s="92"/>
      <c r="Q103" s="92"/>
    </row>
    <row r="104" spans="1:17" s="112" customFormat="1" ht="33" customHeight="1" x14ac:dyDescent="0.25">
      <c r="A104" s="118" t="s">
        <v>721</v>
      </c>
      <c r="B104" s="118" t="s">
        <v>433</v>
      </c>
      <c r="C104" s="118">
        <v>50</v>
      </c>
      <c r="D104" s="119" t="s">
        <v>384</v>
      </c>
      <c r="E104" s="119" t="s">
        <v>445</v>
      </c>
      <c r="F104" s="221" t="s">
        <v>91</v>
      </c>
      <c r="G104" s="182">
        <f t="shared" si="3"/>
        <v>9.9999999999999992E-2</v>
      </c>
      <c r="H104" s="92">
        <v>0.01</v>
      </c>
      <c r="I104" s="92">
        <v>0.01</v>
      </c>
      <c r="J104" s="92">
        <v>0.01</v>
      </c>
      <c r="K104" s="92">
        <v>0.01</v>
      </c>
      <c r="L104" s="92">
        <v>0.01</v>
      </c>
      <c r="M104" s="92">
        <v>0.01</v>
      </c>
      <c r="N104" s="92">
        <v>0.01</v>
      </c>
      <c r="O104" s="92">
        <v>0.01</v>
      </c>
      <c r="P104" s="92">
        <v>0.01</v>
      </c>
      <c r="Q104" s="92">
        <v>0.01</v>
      </c>
    </row>
    <row r="105" spans="1:17" s="112" customFormat="1" ht="33" customHeight="1" x14ac:dyDescent="0.25">
      <c r="A105" s="118" t="s">
        <v>720</v>
      </c>
      <c r="B105" s="118" t="s">
        <v>630</v>
      </c>
      <c r="C105" s="118">
        <v>52</v>
      </c>
      <c r="D105" s="119" t="s">
        <v>458</v>
      </c>
      <c r="E105" s="119" t="s">
        <v>118</v>
      </c>
      <c r="F105" s="221" t="s">
        <v>143</v>
      </c>
      <c r="G105" s="274">
        <f t="shared" si="3"/>
        <v>47.06</v>
      </c>
      <c r="H105" s="92">
        <v>47.06</v>
      </c>
      <c r="I105" s="92"/>
      <c r="J105" s="92"/>
      <c r="K105" s="92"/>
      <c r="L105" s="92"/>
      <c r="M105" s="92"/>
      <c r="N105" s="92"/>
      <c r="O105" s="92"/>
      <c r="P105" s="92"/>
      <c r="Q105" s="92"/>
    </row>
    <row r="106" spans="1:17" s="112" customFormat="1" ht="33" customHeight="1" x14ac:dyDescent="0.25">
      <c r="A106" s="118" t="s">
        <v>720</v>
      </c>
      <c r="B106" s="118" t="s">
        <v>434</v>
      </c>
      <c r="C106" s="118">
        <v>53</v>
      </c>
      <c r="D106" s="119" t="s">
        <v>392</v>
      </c>
      <c r="E106" s="119" t="s">
        <v>398</v>
      </c>
      <c r="F106" s="221" t="s">
        <v>689</v>
      </c>
      <c r="G106" s="182">
        <f t="shared" si="3"/>
        <v>2.1819999999999999</v>
      </c>
      <c r="H106" s="92"/>
      <c r="I106" s="58">
        <v>0.33800000000000002</v>
      </c>
      <c r="J106" s="58">
        <v>0.21199999999999999</v>
      </c>
      <c r="K106" s="58">
        <v>0.26400000000000001</v>
      </c>
      <c r="L106" s="58">
        <v>0.17399999999999999</v>
      </c>
      <c r="M106" s="58">
        <v>0.33400000000000002</v>
      </c>
      <c r="N106" s="58">
        <v>0.41199999999999998</v>
      </c>
      <c r="O106" s="58">
        <v>0.16400000000000001</v>
      </c>
      <c r="P106" s="58">
        <v>0.154</v>
      </c>
      <c r="Q106" s="58">
        <v>0.13</v>
      </c>
    </row>
    <row r="107" spans="1:17" s="112" customFormat="1" ht="33" customHeight="1" x14ac:dyDescent="0.25">
      <c r="A107" s="118" t="s">
        <v>720</v>
      </c>
      <c r="B107" s="118" t="s">
        <v>434</v>
      </c>
      <c r="C107" s="118">
        <v>53</v>
      </c>
      <c r="D107" s="119" t="s">
        <v>392</v>
      </c>
      <c r="E107" s="119" t="s">
        <v>400</v>
      </c>
      <c r="F107" s="221" t="s">
        <v>73</v>
      </c>
      <c r="G107" s="182">
        <f t="shared" si="3"/>
        <v>10.026</v>
      </c>
      <c r="H107" s="92"/>
      <c r="I107" s="58">
        <v>1.6020000000000001</v>
      </c>
      <c r="J107" s="58">
        <v>1.248</v>
      </c>
      <c r="K107" s="58">
        <v>1.252</v>
      </c>
      <c r="L107" s="58">
        <v>0.7</v>
      </c>
      <c r="M107" s="58">
        <v>1.31</v>
      </c>
      <c r="N107" s="58">
        <v>1.82</v>
      </c>
      <c r="O107" s="58">
        <v>0.876</v>
      </c>
      <c r="P107" s="58">
        <v>0.62</v>
      </c>
      <c r="Q107" s="58">
        <v>0.59799999999999998</v>
      </c>
    </row>
    <row r="108" spans="1:17" s="112" customFormat="1" ht="33" customHeight="1" x14ac:dyDescent="0.25">
      <c r="A108" s="118" t="s">
        <v>720</v>
      </c>
      <c r="B108" s="118" t="s">
        <v>434</v>
      </c>
      <c r="C108" s="118">
        <v>53</v>
      </c>
      <c r="D108" s="119" t="s">
        <v>392</v>
      </c>
      <c r="E108" s="119" t="s">
        <v>401</v>
      </c>
      <c r="F108" s="221" t="s">
        <v>79</v>
      </c>
      <c r="G108" s="182">
        <f t="shared" si="3"/>
        <v>4.9800000000000013</v>
      </c>
      <c r="H108" s="275">
        <v>3.18</v>
      </c>
      <c r="I108" s="120">
        <v>0.2</v>
      </c>
      <c r="J108" s="120">
        <v>0.2</v>
      </c>
      <c r="K108" s="120">
        <v>0.2</v>
      </c>
      <c r="L108" s="120">
        <v>0.2</v>
      </c>
      <c r="M108" s="120">
        <v>0.2</v>
      </c>
      <c r="N108" s="120">
        <v>0.2</v>
      </c>
      <c r="O108" s="120">
        <v>0.2</v>
      </c>
      <c r="P108" s="120">
        <v>0.2</v>
      </c>
      <c r="Q108" s="120">
        <v>0.2</v>
      </c>
    </row>
    <row r="109" spans="1:17" s="112" customFormat="1" ht="33" customHeight="1" x14ac:dyDescent="0.25">
      <c r="A109" s="118" t="s">
        <v>720</v>
      </c>
      <c r="B109" s="118" t="s">
        <v>434</v>
      </c>
      <c r="C109" s="118">
        <v>53</v>
      </c>
      <c r="D109" s="119" t="s">
        <v>392</v>
      </c>
      <c r="E109" s="119" t="s">
        <v>401</v>
      </c>
      <c r="F109" s="221" t="s">
        <v>88</v>
      </c>
      <c r="G109" s="182">
        <f t="shared" si="3"/>
        <v>5.9927000000000001</v>
      </c>
      <c r="H109" s="275">
        <v>7.6E-3</v>
      </c>
      <c r="I109" s="120">
        <v>0.89100000000000001</v>
      </c>
      <c r="J109" s="120">
        <v>0.65790000000000004</v>
      </c>
      <c r="K109" s="120">
        <v>0.64690000000000003</v>
      </c>
      <c r="L109" s="120">
        <v>0.56540000000000001</v>
      </c>
      <c r="M109" s="120">
        <v>0.73089999999999999</v>
      </c>
      <c r="N109" s="120">
        <v>0.81799999999999995</v>
      </c>
      <c r="O109" s="120">
        <v>0.70599999999999996</v>
      </c>
      <c r="P109" s="120">
        <v>0.54800000000000004</v>
      </c>
      <c r="Q109" s="120">
        <v>0.42099999999999999</v>
      </c>
    </row>
    <row r="110" spans="1:17" s="112" customFormat="1" ht="33" customHeight="1" x14ac:dyDescent="0.25">
      <c r="A110" s="118" t="s">
        <v>720</v>
      </c>
      <c r="B110" s="118" t="s">
        <v>434</v>
      </c>
      <c r="C110" s="118">
        <v>53</v>
      </c>
      <c r="D110" s="119" t="s">
        <v>392</v>
      </c>
      <c r="E110" s="119" t="s">
        <v>400</v>
      </c>
      <c r="F110" s="221" t="s">
        <v>882</v>
      </c>
      <c r="G110" s="182">
        <f t="shared" si="3"/>
        <v>0.79999999999999993</v>
      </c>
      <c r="H110" s="92">
        <v>0.08</v>
      </c>
      <c r="I110" s="58">
        <v>0.08</v>
      </c>
      <c r="J110" s="58">
        <v>0.08</v>
      </c>
      <c r="K110" s="58">
        <v>0.08</v>
      </c>
      <c r="L110" s="58">
        <v>0.08</v>
      </c>
      <c r="M110" s="58">
        <v>0.08</v>
      </c>
      <c r="N110" s="58">
        <v>0.08</v>
      </c>
      <c r="O110" s="58">
        <v>0.08</v>
      </c>
      <c r="P110" s="58">
        <v>0.08</v>
      </c>
      <c r="Q110" s="58">
        <v>0.08</v>
      </c>
    </row>
    <row r="111" spans="1:17" s="112" customFormat="1" ht="33" customHeight="1" x14ac:dyDescent="0.25">
      <c r="A111" s="118" t="s">
        <v>720</v>
      </c>
      <c r="B111" s="118" t="s">
        <v>434</v>
      </c>
      <c r="C111" s="118">
        <v>54</v>
      </c>
      <c r="D111" s="119" t="s">
        <v>883</v>
      </c>
      <c r="E111" s="119" t="s">
        <v>398</v>
      </c>
      <c r="F111" s="221" t="s">
        <v>884</v>
      </c>
      <c r="G111" s="182">
        <f t="shared" si="3"/>
        <v>0.3</v>
      </c>
      <c r="H111" s="92"/>
      <c r="I111" s="92">
        <v>0.21</v>
      </c>
      <c r="J111" s="92"/>
      <c r="K111" s="92"/>
      <c r="L111" s="92"/>
      <c r="M111" s="92">
        <v>0.09</v>
      </c>
      <c r="N111" s="92"/>
      <c r="O111" s="92"/>
      <c r="P111" s="92"/>
      <c r="Q111" s="92"/>
    </row>
    <row r="112" spans="1:17" s="112" customFormat="1" ht="33" customHeight="1" x14ac:dyDescent="0.25">
      <c r="A112" s="118" t="s">
        <v>720</v>
      </c>
      <c r="B112" s="118" t="s">
        <v>434</v>
      </c>
      <c r="C112" s="118">
        <v>54</v>
      </c>
      <c r="D112" s="119" t="s">
        <v>883</v>
      </c>
      <c r="E112" s="119" t="s">
        <v>371</v>
      </c>
      <c r="F112" s="221" t="s">
        <v>885</v>
      </c>
      <c r="G112" s="182">
        <f t="shared" si="3"/>
        <v>5.34</v>
      </c>
      <c r="H112" s="92"/>
      <c r="I112" s="92">
        <v>2.67</v>
      </c>
      <c r="J112" s="92"/>
      <c r="K112" s="92"/>
      <c r="L112" s="92"/>
      <c r="M112" s="92">
        <v>2.67</v>
      </c>
      <c r="N112" s="92"/>
      <c r="O112" s="92"/>
      <c r="P112" s="92"/>
      <c r="Q112" s="92"/>
    </row>
    <row r="113" spans="1:19" s="112" customFormat="1" ht="33" customHeight="1" x14ac:dyDescent="0.25">
      <c r="A113" s="118" t="s">
        <v>720</v>
      </c>
      <c r="B113" s="118" t="s">
        <v>434</v>
      </c>
      <c r="C113" s="118">
        <v>56</v>
      </c>
      <c r="D113" s="119" t="s">
        <v>395</v>
      </c>
      <c r="E113" s="119" t="s">
        <v>398</v>
      </c>
      <c r="F113" s="221" t="s">
        <v>687</v>
      </c>
      <c r="G113" s="182">
        <f t="shared" si="3"/>
        <v>4.3639999999999999</v>
      </c>
      <c r="H113" s="92"/>
      <c r="I113" s="92">
        <v>0.67600000000000005</v>
      </c>
      <c r="J113" s="92">
        <v>0.42399999999999999</v>
      </c>
      <c r="K113" s="92">
        <v>0.52800000000000002</v>
      </c>
      <c r="L113" s="92">
        <v>0.34799999999999998</v>
      </c>
      <c r="M113" s="92">
        <v>0.66800000000000004</v>
      </c>
      <c r="N113" s="92">
        <v>0.82399999999999995</v>
      </c>
      <c r="O113" s="92">
        <v>0.32800000000000001</v>
      </c>
      <c r="P113" s="92">
        <v>0.308</v>
      </c>
      <c r="Q113" s="92">
        <v>0.26</v>
      </c>
    </row>
    <row r="114" spans="1:19" s="112" customFormat="1" ht="33" customHeight="1" x14ac:dyDescent="0.25">
      <c r="A114" s="118" t="s">
        <v>720</v>
      </c>
      <c r="B114" s="118" t="s">
        <v>434</v>
      </c>
      <c r="C114" s="118">
        <v>56</v>
      </c>
      <c r="D114" s="119" t="s">
        <v>395</v>
      </c>
      <c r="E114" s="119" t="s">
        <v>401</v>
      </c>
      <c r="F114" s="221" t="s">
        <v>80</v>
      </c>
      <c r="G114" s="182">
        <f t="shared" si="3"/>
        <v>2.016</v>
      </c>
      <c r="H114" s="92">
        <v>2.016</v>
      </c>
      <c r="I114" s="58"/>
      <c r="J114" s="58"/>
      <c r="K114" s="58"/>
      <c r="L114" s="58"/>
      <c r="M114" s="58"/>
      <c r="N114" s="58"/>
      <c r="O114" s="58"/>
      <c r="P114" s="58"/>
      <c r="Q114" s="58"/>
    </row>
    <row r="115" spans="1:19" s="112" customFormat="1" ht="33" customHeight="1" x14ac:dyDescent="0.25">
      <c r="A115" s="118" t="s">
        <v>720</v>
      </c>
      <c r="B115" s="118" t="s">
        <v>434</v>
      </c>
      <c r="C115" s="118">
        <v>58</v>
      </c>
      <c r="D115" s="119" t="s">
        <v>388</v>
      </c>
      <c r="E115" s="119" t="s">
        <v>398</v>
      </c>
      <c r="F115" s="221" t="s">
        <v>690</v>
      </c>
      <c r="G115" s="182">
        <f t="shared" si="3"/>
        <v>1.23</v>
      </c>
      <c r="H115" s="92">
        <v>1.23</v>
      </c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1:19" s="112" customFormat="1" ht="33" customHeight="1" x14ac:dyDescent="0.25">
      <c r="A116" s="118" t="s">
        <v>720</v>
      </c>
      <c r="B116" s="118" t="s">
        <v>434</v>
      </c>
      <c r="C116" s="118">
        <v>58</v>
      </c>
      <c r="D116" s="119" t="s">
        <v>388</v>
      </c>
      <c r="E116" s="119" t="s">
        <v>118</v>
      </c>
      <c r="F116" s="221" t="s">
        <v>148</v>
      </c>
      <c r="G116" s="182">
        <f t="shared" si="3"/>
        <v>20.175000000000001</v>
      </c>
      <c r="H116" s="92"/>
      <c r="I116" s="58">
        <v>3.3279999999999998</v>
      </c>
      <c r="J116" s="58">
        <v>2.8639999999999999</v>
      </c>
      <c r="K116" s="58">
        <v>1.915</v>
      </c>
      <c r="L116" s="58">
        <v>2.1070000000000002</v>
      </c>
      <c r="M116" s="58">
        <v>2.0550000000000002</v>
      </c>
      <c r="N116" s="58">
        <v>2.0830000000000002</v>
      </c>
      <c r="O116" s="58">
        <v>2.83</v>
      </c>
      <c r="P116" s="58">
        <v>1.867</v>
      </c>
      <c r="Q116" s="58">
        <v>1.1259999999999999</v>
      </c>
    </row>
    <row r="117" spans="1:19" s="112" customFormat="1" ht="33" customHeight="1" x14ac:dyDescent="0.25">
      <c r="A117" s="118" t="s">
        <v>720</v>
      </c>
      <c r="B117" s="118" t="s">
        <v>434</v>
      </c>
      <c r="C117" s="118">
        <v>58</v>
      </c>
      <c r="D117" s="119" t="s">
        <v>388</v>
      </c>
      <c r="E117" s="119" t="s">
        <v>118</v>
      </c>
      <c r="F117" s="221" t="s">
        <v>149</v>
      </c>
      <c r="G117" s="182">
        <f t="shared" si="3"/>
        <v>12.666</v>
      </c>
      <c r="H117" s="92"/>
      <c r="I117" s="58">
        <v>2.0009999999999999</v>
      </c>
      <c r="J117" s="58">
        <v>1.5289999999999999</v>
      </c>
      <c r="K117" s="58">
        <v>1.2290000000000001</v>
      </c>
      <c r="L117" s="58">
        <v>1.335</v>
      </c>
      <c r="M117" s="58">
        <v>1.319</v>
      </c>
      <c r="N117" s="58">
        <v>1.3160000000000001</v>
      </c>
      <c r="O117" s="58">
        <v>1.835</v>
      </c>
      <c r="P117" s="58">
        <v>1.355</v>
      </c>
      <c r="Q117" s="58">
        <v>0.747</v>
      </c>
    </row>
    <row r="118" spans="1:19" s="112" customFormat="1" ht="33" customHeight="1" x14ac:dyDescent="0.25">
      <c r="A118" s="118" t="s">
        <v>720</v>
      </c>
      <c r="B118" s="118" t="s">
        <v>434</v>
      </c>
      <c r="C118" s="118">
        <v>58</v>
      </c>
      <c r="D118" s="119" t="s">
        <v>388</v>
      </c>
      <c r="E118" s="119" t="s">
        <v>400</v>
      </c>
      <c r="F118" s="221" t="s">
        <v>390</v>
      </c>
      <c r="G118" s="182">
        <f t="shared" si="3"/>
        <v>4.0570000000000004</v>
      </c>
      <c r="H118" s="92"/>
      <c r="I118" s="58">
        <v>0.63</v>
      </c>
      <c r="J118" s="58">
        <v>0.40500000000000003</v>
      </c>
      <c r="K118" s="58">
        <v>0.52100000000000002</v>
      </c>
      <c r="L118" s="58">
        <v>0.27400000000000002</v>
      </c>
      <c r="M118" s="58">
        <v>0.51300000000000001</v>
      </c>
      <c r="N118" s="58">
        <v>0.76400000000000001</v>
      </c>
      <c r="O118" s="58">
        <v>0.43099999999999999</v>
      </c>
      <c r="P118" s="58">
        <v>0.251</v>
      </c>
      <c r="Q118" s="58">
        <v>0.26800000000000002</v>
      </c>
    </row>
    <row r="119" spans="1:19" s="112" customFormat="1" ht="33" customHeight="1" x14ac:dyDescent="0.25">
      <c r="A119" s="118" t="s">
        <v>720</v>
      </c>
      <c r="B119" s="118" t="s">
        <v>434</v>
      </c>
      <c r="C119" s="118">
        <v>58</v>
      </c>
      <c r="D119" s="119" t="s">
        <v>388</v>
      </c>
      <c r="E119" s="119" t="s">
        <v>400</v>
      </c>
      <c r="F119" s="221" t="s">
        <v>887</v>
      </c>
      <c r="G119" s="182">
        <f t="shared" si="3"/>
        <v>0.39999999999999997</v>
      </c>
      <c r="H119" s="58">
        <v>0.04</v>
      </c>
      <c r="I119" s="58">
        <v>0.04</v>
      </c>
      <c r="J119" s="58">
        <v>0.04</v>
      </c>
      <c r="K119" s="58">
        <v>0.04</v>
      </c>
      <c r="L119" s="58">
        <v>0.04</v>
      </c>
      <c r="M119" s="58">
        <v>0.04</v>
      </c>
      <c r="N119" s="58">
        <v>0.04</v>
      </c>
      <c r="O119" s="58">
        <v>0.04</v>
      </c>
      <c r="P119" s="58">
        <v>0.04</v>
      </c>
      <c r="Q119" s="58">
        <v>0.04</v>
      </c>
    </row>
    <row r="120" spans="1:19" s="112" customFormat="1" ht="33" customHeight="1" x14ac:dyDescent="0.25">
      <c r="A120" s="118" t="s">
        <v>720</v>
      </c>
      <c r="B120" s="118" t="s">
        <v>434</v>
      </c>
      <c r="C120" s="118">
        <v>58</v>
      </c>
      <c r="D120" s="119" t="s">
        <v>388</v>
      </c>
      <c r="E120" s="119" t="s">
        <v>401</v>
      </c>
      <c r="F120" s="221" t="s">
        <v>886</v>
      </c>
      <c r="G120" s="182">
        <f t="shared" si="3"/>
        <v>2.0122</v>
      </c>
      <c r="H120" s="58">
        <v>5.96E-2</v>
      </c>
      <c r="I120" s="58">
        <v>0.29799999999999999</v>
      </c>
      <c r="J120" s="58">
        <v>0.21560000000000001</v>
      </c>
      <c r="K120" s="58">
        <v>0.24299999999999999</v>
      </c>
      <c r="L120" s="58">
        <v>0.17799999999999999</v>
      </c>
      <c r="M120" s="58">
        <v>0.2</v>
      </c>
      <c r="N120" s="58">
        <v>0.25700000000000001</v>
      </c>
      <c r="O120" s="58">
        <v>0.24299999999999999</v>
      </c>
      <c r="P120" s="58">
        <v>0.193</v>
      </c>
      <c r="Q120" s="58">
        <v>0.125</v>
      </c>
    </row>
    <row r="121" spans="1:19" s="112" customFormat="1" ht="33" customHeight="1" x14ac:dyDescent="0.25">
      <c r="A121" s="118" t="s">
        <v>720</v>
      </c>
      <c r="B121" s="118" t="s">
        <v>434</v>
      </c>
      <c r="C121" s="118">
        <v>58</v>
      </c>
      <c r="D121" s="119" t="s">
        <v>388</v>
      </c>
      <c r="E121" s="119" t="s">
        <v>401</v>
      </c>
      <c r="F121" s="221" t="s">
        <v>902</v>
      </c>
      <c r="G121" s="182">
        <f t="shared" si="3"/>
        <v>1.6640000000000006</v>
      </c>
      <c r="H121" s="58">
        <v>0.76400000000000001</v>
      </c>
      <c r="I121" s="58">
        <v>0.1</v>
      </c>
      <c r="J121" s="58">
        <v>0.1</v>
      </c>
      <c r="K121" s="58">
        <v>0.1</v>
      </c>
      <c r="L121" s="58">
        <v>0.1</v>
      </c>
      <c r="M121" s="58">
        <v>0.1</v>
      </c>
      <c r="N121" s="58">
        <v>0.1</v>
      </c>
      <c r="O121" s="58">
        <v>0.1</v>
      </c>
      <c r="P121" s="58">
        <v>0.1</v>
      </c>
      <c r="Q121" s="58">
        <v>0.1</v>
      </c>
    </row>
    <row r="122" spans="1:19" s="112" customFormat="1" ht="33" customHeight="1" x14ac:dyDescent="0.25">
      <c r="A122" s="118" t="s">
        <v>718</v>
      </c>
      <c r="B122" s="118" t="s">
        <v>724</v>
      </c>
      <c r="C122" s="118">
        <v>194</v>
      </c>
      <c r="D122" s="119" t="s">
        <v>394</v>
      </c>
      <c r="E122" s="119" t="s">
        <v>371</v>
      </c>
      <c r="F122" s="221" t="s">
        <v>991</v>
      </c>
      <c r="G122" s="182">
        <f t="shared" si="3"/>
        <v>7.5</v>
      </c>
      <c r="H122" s="58">
        <v>7.5</v>
      </c>
      <c r="I122" s="58"/>
      <c r="J122" s="58"/>
      <c r="K122" s="58"/>
      <c r="L122" s="58"/>
      <c r="M122" s="58"/>
      <c r="N122" s="58"/>
      <c r="O122" s="58"/>
      <c r="P122" s="58"/>
      <c r="Q122" s="58"/>
    </row>
    <row r="123" spans="1:19" s="112" customFormat="1" ht="33" customHeight="1" x14ac:dyDescent="0.25">
      <c r="A123" s="118" t="s">
        <v>723</v>
      </c>
      <c r="B123" s="118" t="s">
        <v>724</v>
      </c>
      <c r="C123" s="118">
        <v>194</v>
      </c>
      <c r="D123" s="119" t="s">
        <v>435</v>
      </c>
      <c r="E123" s="119" t="s">
        <v>464</v>
      </c>
      <c r="F123" s="221" t="s">
        <v>92</v>
      </c>
      <c r="G123" s="182">
        <f t="shared" si="3"/>
        <v>17.919999999999998</v>
      </c>
      <c r="H123" s="58">
        <v>6.81</v>
      </c>
      <c r="I123" s="58">
        <v>1.84</v>
      </c>
      <c r="J123" s="58">
        <v>0.68</v>
      </c>
      <c r="K123" s="58">
        <v>1.84</v>
      </c>
      <c r="L123" s="58">
        <v>0.82</v>
      </c>
      <c r="M123" s="58">
        <v>1.84</v>
      </c>
      <c r="N123" s="58">
        <v>1.84</v>
      </c>
      <c r="O123" s="58">
        <v>0.82</v>
      </c>
      <c r="P123" s="58">
        <v>0.71499999999999997</v>
      </c>
      <c r="Q123" s="58">
        <v>0.71499999999999997</v>
      </c>
    </row>
    <row r="124" spans="1:19" s="112" customFormat="1" ht="33" customHeight="1" x14ac:dyDescent="0.25">
      <c r="A124" s="118" t="s">
        <v>723</v>
      </c>
      <c r="B124" s="118" t="s">
        <v>724</v>
      </c>
      <c r="C124" s="118">
        <v>194</v>
      </c>
      <c r="D124" s="119" t="s">
        <v>435</v>
      </c>
      <c r="E124" s="119" t="s">
        <v>371</v>
      </c>
      <c r="F124" s="221" t="s">
        <v>935</v>
      </c>
      <c r="G124" s="182">
        <f t="shared" si="3"/>
        <v>10.025</v>
      </c>
      <c r="H124" s="58">
        <v>5.282</v>
      </c>
      <c r="I124" s="58">
        <v>0.46300000000000002</v>
      </c>
      <c r="J124" s="58">
        <v>0.28000000000000003</v>
      </c>
      <c r="K124" s="58">
        <v>0.94</v>
      </c>
      <c r="L124" s="58">
        <v>0.53700000000000003</v>
      </c>
      <c r="M124" s="58">
        <v>0.379</v>
      </c>
      <c r="N124" s="58">
        <v>0.83499999999999996</v>
      </c>
      <c r="O124" s="58">
        <v>0.66</v>
      </c>
      <c r="P124" s="58">
        <v>0.35099999999999998</v>
      </c>
      <c r="Q124" s="58">
        <v>0.29799999999999999</v>
      </c>
    </row>
    <row r="125" spans="1:19" s="112" customFormat="1" ht="33" customHeight="1" x14ac:dyDescent="0.25">
      <c r="A125" s="118" t="s">
        <v>723</v>
      </c>
      <c r="B125" s="118" t="s">
        <v>724</v>
      </c>
      <c r="C125" s="118">
        <v>194</v>
      </c>
      <c r="D125" s="119" t="s">
        <v>435</v>
      </c>
      <c r="E125" s="119" t="s">
        <v>371</v>
      </c>
      <c r="F125" s="221" t="s">
        <v>823</v>
      </c>
      <c r="G125" s="182">
        <f t="shared" si="3"/>
        <v>97.70799999999997</v>
      </c>
      <c r="H125" s="58">
        <v>86.6</v>
      </c>
      <c r="I125" s="58">
        <v>1.3720000000000001</v>
      </c>
      <c r="J125" s="58">
        <v>1.3720000000000001</v>
      </c>
      <c r="K125" s="58">
        <v>1.3720000000000001</v>
      </c>
      <c r="L125" s="58">
        <v>1.1240000000000001</v>
      </c>
      <c r="M125" s="58">
        <v>1.1240000000000001</v>
      </c>
      <c r="N125" s="58">
        <v>1.3720000000000001</v>
      </c>
      <c r="O125" s="58">
        <v>1.1240000000000001</v>
      </c>
      <c r="P125" s="58">
        <v>1.1240000000000001</v>
      </c>
      <c r="Q125" s="58">
        <v>1.1240000000000001</v>
      </c>
    </row>
    <row r="126" spans="1:19" s="112" customFormat="1" ht="33" customHeight="1" x14ac:dyDescent="0.25">
      <c r="A126" s="118" t="s">
        <v>723</v>
      </c>
      <c r="B126" s="118" t="s">
        <v>724</v>
      </c>
      <c r="C126" s="118">
        <v>195</v>
      </c>
      <c r="D126" s="119" t="s">
        <v>435</v>
      </c>
      <c r="E126" s="119" t="s">
        <v>464</v>
      </c>
      <c r="F126" s="221" t="s">
        <v>934</v>
      </c>
      <c r="G126" s="182">
        <f t="shared" si="3"/>
        <v>10.273999999999999</v>
      </c>
      <c r="H126" s="58">
        <v>10.273999999999999</v>
      </c>
      <c r="I126" s="58"/>
      <c r="J126" s="58"/>
      <c r="K126" s="58"/>
      <c r="L126" s="58"/>
      <c r="M126" s="58"/>
      <c r="N126" s="58"/>
      <c r="O126" s="58"/>
      <c r="P126" s="58"/>
      <c r="Q126" s="58"/>
    </row>
    <row r="127" spans="1:19" s="224" customFormat="1" ht="31.5" customHeight="1" x14ac:dyDescent="0.25">
      <c r="A127" s="114"/>
      <c r="B127" s="114"/>
      <c r="C127" s="114"/>
      <c r="D127" s="115"/>
      <c r="E127" s="115"/>
      <c r="F127" s="223" t="s">
        <v>20</v>
      </c>
      <c r="G127" s="116">
        <f t="shared" ref="G127:Q127" si="4">SUM(G4:G126)</f>
        <v>1484.3071</v>
      </c>
      <c r="H127" s="116">
        <f t="shared" si="4"/>
        <v>401.43420000000003</v>
      </c>
      <c r="I127" s="116">
        <f t="shared" si="4"/>
        <v>244.94299999999996</v>
      </c>
      <c r="J127" s="116">
        <f t="shared" si="4"/>
        <v>140.78950000000003</v>
      </c>
      <c r="K127" s="116">
        <f t="shared" si="4"/>
        <v>121.7719</v>
      </c>
      <c r="L127" s="116">
        <f t="shared" si="4"/>
        <v>78.627599999999987</v>
      </c>
      <c r="M127" s="116">
        <f t="shared" si="4"/>
        <v>129.7749</v>
      </c>
      <c r="N127" s="116">
        <f t="shared" si="4"/>
        <v>144.57800000000009</v>
      </c>
      <c r="O127" s="116">
        <f t="shared" si="4"/>
        <v>91.012999999999977</v>
      </c>
      <c r="P127" s="116">
        <f t="shared" si="4"/>
        <v>72.116000000000014</v>
      </c>
      <c r="Q127" s="116">
        <f t="shared" si="4"/>
        <v>59.259000000000007</v>
      </c>
      <c r="R127" s="222"/>
      <c r="S127" s="222"/>
    </row>
  </sheetData>
  <autoFilter ref="A3:Q127" xr:uid="{00000000-0001-0000-0600-000000000000}">
    <sortState xmlns:xlrd2="http://schemas.microsoft.com/office/spreadsheetml/2017/richdata2" ref="A4:Q127">
      <sortCondition ref="C3:C127"/>
    </sortState>
  </autoFilter>
  <mergeCells count="1">
    <mergeCell ref="A1:G1"/>
  </mergeCells>
  <phoneticPr fontId="15" type="noConversion"/>
  <pageMargins left="0.7" right="0.7" top="0.75" bottom="0.75" header="0.3" footer="0.3"/>
  <pageSetup paperSize="5" scale="54" fitToHeight="9" orientation="landscape" horizontalDpi="4294967292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5B0A2-4C4A-44B3-9233-59D5DA459258}">
  <sheetPr>
    <tabColor rgb="FFFF0000"/>
    <pageSetUpPr fitToPage="1"/>
  </sheetPr>
  <dimension ref="A1:R17"/>
  <sheetViews>
    <sheetView view="pageBreakPreview" zoomScale="80" zoomScaleNormal="100" workbookViewId="0">
      <pane xSplit="6" ySplit="2" topLeftCell="G9" activePane="bottomRight" state="frozen"/>
      <selection pane="topRight"/>
      <selection pane="bottomLeft"/>
      <selection pane="bottomRight" activeCell="L13" sqref="L13"/>
    </sheetView>
  </sheetViews>
  <sheetFormatPr defaultColWidth="9.140625" defaultRowHeight="15.75" x14ac:dyDescent="0.25"/>
  <cols>
    <col min="1" max="1" width="9" style="76" customWidth="1"/>
    <col min="2" max="2" width="31.140625" style="76" customWidth="1"/>
    <col min="3" max="3" width="11.85546875" style="84" customWidth="1"/>
    <col min="4" max="4" width="26.42578125" style="76" customWidth="1"/>
    <col min="5" max="5" width="32.42578125" style="76" customWidth="1"/>
    <col min="6" max="6" width="48.42578125" style="45" customWidth="1"/>
    <col min="7" max="7" width="12.140625" style="170" customWidth="1"/>
    <col min="8" max="17" width="12.140625" style="72" customWidth="1"/>
    <col min="18" max="18" width="9.7109375" style="72" customWidth="1"/>
    <col min="19" max="16384" width="9.140625" style="45"/>
  </cols>
  <sheetData>
    <row r="1" spans="1:18" ht="24" customHeight="1" x14ac:dyDescent="0.25">
      <c r="A1" s="339" t="s">
        <v>939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s="71" customFormat="1" ht="55.5" customHeight="1" x14ac:dyDescent="0.25">
      <c r="A2" s="39" t="s">
        <v>537</v>
      </c>
      <c r="B2" s="39" t="s">
        <v>18</v>
      </c>
      <c r="C2" s="40" t="s">
        <v>734</v>
      </c>
      <c r="D2" s="40" t="s">
        <v>486</v>
      </c>
      <c r="E2" s="40" t="s">
        <v>487</v>
      </c>
      <c r="F2" s="50" t="s">
        <v>988</v>
      </c>
      <c r="G2" s="51" t="s">
        <v>836</v>
      </c>
      <c r="H2" s="51" t="s">
        <v>3</v>
      </c>
      <c r="I2" s="51" t="s">
        <v>4</v>
      </c>
      <c r="J2" s="51" t="s">
        <v>5</v>
      </c>
      <c r="K2" s="65" t="s">
        <v>6</v>
      </c>
      <c r="L2" s="52" t="s">
        <v>7</v>
      </c>
      <c r="M2" s="52" t="s">
        <v>8</v>
      </c>
      <c r="N2" s="52" t="s">
        <v>9</v>
      </c>
      <c r="O2" s="52" t="s">
        <v>10</v>
      </c>
      <c r="P2" s="52" t="s">
        <v>11</v>
      </c>
      <c r="Q2" s="52" t="s">
        <v>12</v>
      </c>
      <c r="R2" s="70"/>
    </row>
    <row r="3" spans="1:18" ht="47.25" x14ac:dyDescent="0.25">
      <c r="A3" s="16" t="s">
        <v>538</v>
      </c>
      <c r="B3" s="16" t="s">
        <v>837</v>
      </c>
      <c r="C3" s="68">
        <v>114</v>
      </c>
      <c r="D3" s="16" t="s">
        <v>539</v>
      </c>
      <c r="E3" s="16" t="s">
        <v>399</v>
      </c>
      <c r="F3" s="17" t="s">
        <v>940</v>
      </c>
      <c r="G3" s="181">
        <f>SUM(H3:Q3)</f>
        <v>5</v>
      </c>
      <c r="H3" s="58"/>
      <c r="I3" s="58"/>
      <c r="J3" s="58"/>
      <c r="K3" s="58"/>
      <c r="L3" s="58"/>
      <c r="M3" s="286">
        <v>5</v>
      </c>
      <c r="N3" s="58"/>
      <c r="O3" s="58"/>
      <c r="P3" s="58"/>
      <c r="Q3" s="58"/>
    </row>
    <row r="4" spans="1:18" ht="47.25" x14ac:dyDescent="0.25">
      <c r="A4" s="16" t="s">
        <v>538</v>
      </c>
      <c r="B4" s="16" t="s">
        <v>838</v>
      </c>
      <c r="C4" s="68">
        <v>114</v>
      </c>
      <c r="D4" s="16" t="s">
        <v>539</v>
      </c>
      <c r="E4" s="16" t="s">
        <v>399</v>
      </c>
      <c r="F4" s="17" t="s">
        <v>941</v>
      </c>
      <c r="G4" s="181">
        <f t="shared" ref="G4:G15" si="0">SUM(H4:Q4)</f>
        <v>0.6</v>
      </c>
      <c r="H4" s="58"/>
      <c r="I4" s="58"/>
      <c r="J4" s="58"/>
      <c r="K4" s="58"/>
      <c r="L4" s="286">
        <v>0.3</v>
      </c>
      <c r="M4" s="286">
        <v>0.3</v>
      </c>
      <c r="N4" s="58"/>
      <c r="O4" s="58"/>
      <c r="P4" s="58"/>
      <c r="Q4" s="58"/>
    </row>
    <row r="5" spans="1:18" ht="47.25" x14ac:dyDescent="0.25">
      <c r="A5" s="16" t="s">
        <v>538</v>
      </c>
      <c r="B5" s="16" t="s">
        <v>839</v>
      </c>
      <c r="C5" s="68">
        <v>114</v>
      </c>
      <c r="D5" s="16" t="s">
        <v>539</v>
      </c>
      <c r="E5" s="16" t="s">
        <v>399</v>
      </c>
      <c r="F5" s="17" t="s">
        <v>942</v>
      </c>
      <c r="G5" s="181">
        <f t="shared" si="0"/>
        <v>0.5</v>
      </c>
      <c r="H5" s="58"/>
      <c r="I5" s="58"/>
      <c r="J5" s="58"/>
      <c r="K5" s="58"/>
      <c r="L5" s="58"/>
      <c r="M5" s="58">
        <v>0.25</v>
      </c>
      <c r="N5" s="58">
        <v>0.25</v>
      </c>
      <c r="O5" s="58"/>
      <c r="P5" s="58"/>
      <c r="Q5" s="58"/>
    </row>
    <row r="6" spans="1:18" ht="47.25" x14ac:dyDescent="0.25">
      <c r="A6" s="16" t="s">
        <v>538</v>
      </c>
      <c r="B6" s="16" t="s">
        <v>840</v>
      </c>
      <c r="C6" s="68">
        <v>114</v>
      </c>
      <c r="D6" s="16" t="s">
        <v>539</v>
      </c>
      <c r="E6" s="16" t="s">
        <v>399</v>
      </c>
      <c r="F6" s="17" t="s">
        <v>943</v>
      </c>
      <c r="G6" s="181">
        <f t="shared" si="0"/>
        <v>4</v>
      </c>
      <c r="H6" s="58"/>
      <c r="I6" s="58"/>
      <c r="J6" s="58"/>
      <c r="K6" s="58"/>
      <c r="L6" s="58"/>
      <c r="M6" s="286">
        <v>2</v>
      </c>
      <c r="N6" s="58"/>
      <c r="O6" s="286">
        <v>2</v>
      </c>
      <c r="P6" s="58"/>
      <c r="Q6" s="58"/>
    </row>
    <row r="7" spans="1:18" ht="47.25" x14ac:dyDescent="0.25">
      <c r="A7" s="16" t="s">
        <v>538</v>
      </c>
      <c r="B7" s="16" t="s">
        <v>840</v>
      </c>
      <c r="C7" s="68">
        <v>114</v>
      </c>
      <c r="D7" s="16" t="s">
        <v>539</v>
      </c>
      <c r="E7" s="16" t="s">
        <v>399</v>
      </c>
      <c r="F7" s="17" t="s">
        <v>944</v>
      </c>
      <c r="G7" s="181">
        <f t="shared" si="0"/>
        <v>2</v>
      </c>
      <c r="H7" s="58"/>
      <c r="I7" s="58"/>
      <c r="J7" s="58"/>
      <c r="K7" s="58"/>
      <c r="L7" s="58"/>
      <c r="M7" s="286">
        <v>1</v>
      </c>
      <c r="N7" s="58"/>
      <c r="O7" s="286">
        <v>1</v>
      </c>
      <c r="P7" s="58"/>
      <c r="Q7" s="58"/>
    </row>
    <row r="8" spans="1:18" ht="47.25" x14ac:dyDescent="0.25">
      <c r="A8" s="16" t="s">
        <v>538</v>
      </c>
      <c r="B8" s="16" t="s">
        <v>840</v>
      </c>
      <c r="C8" s="68">
        <v>114</v>
      </c>
      <c r="D8" s="16" t="s">
        <v>539</v>
      </c>
      <c r="E8" s="16" t="s">
        <v>416</v>
      </c>
      <c r="F8" s="17" t="s">
        <v>695</v>
      </c>
      <c r="G8" s="181">
        <f t="shared" si="0"/>
        <v>1.02</v>
      </c>
      <c r="H8" s="58">
        <v>0.12</v>
      </c>
      <c r="I8" s="286">
        <v>0.1</v>
      </c>
      <c r="J8" s="286">
        <v>0.1</v>
      </c>
      <c r="K8" s="286">
        <v>0.1</v>
      </c>
      <c r="L8" s="286">
        <v>0.1</v>
      </c>
      <c r="M8" s="286">
        <v>0.1</v>
      </c>
      <c r="N8" s="286">
        <v>0.1</v>
      </c>
      <c r="O8" s="286">
        <v>0.1</v>
      </c>
      <c r="P8" s="286">
        <v>0.1</v>
      </c>
      <c r="Q8" s="286">
        <v>0.1</v>
      </c>
    </row>
    <row r="9" spans="1:18" ht="47.25" x14ac:dyDescent="0.25">
      <c r="A9" s="16" t="s">
        <v>538</v>
      </c>
      <c r="B9" s="16" t="s">
        <v>840</v>
      </c>
      <c r="C9" s="68">
        <v>114</v>
      </c>
      <c r="D9" s="16" t="s">
        <v>539</v>
      </c>
      <c r="E9" s="16" t="s">
        <v>564</v>
      </c>
      <c r="F9" s="17" t="s">
        <v>945</v>
      </c>
      <c r="G9" s="181">
        <f t="shared" si="0"/>
        <v>2.4</v>
      </c>
      <c r="H9" s="286">
        <v>0.6</v>
      </c>
      <c r="I9" s="286">
        <v>0.2</v>
      </c>
      <c r="J9" s="286">
        <v>0.2</v>
      </c>
      <c r="K9" s="286">
        <v>0.2</v>
      </c>
      <c r="L9" s="286">
        <v>0.2</v>
      </c>
      <c r="M9" s="286">
        <v>0.2</v>
      </c>
      <c r="N9" s="286">
        <v>0.2</v>
      </c>
      <c r="O9" s="286">
        <v>0.2</v>
      </c>
      <c r="P9" s="286">
        <v>0.2</v>
      </c>
      <c r="Q9" s="286">
        <v>0.2</v>
      </c>
    </row>
    <row r="10" spans="1:18" ht="47.25" x14ac:dyDescent="0.25">
      <c r="A10" s="16" t="s">
        <v>538</v>
      </c>
      <c r="B10" s="16" t="s">
        <v>840</v>
      </c>
      <c r="C10" s="68">
        <v>114</v>
      </c>
      <c r="D10" s="16" t="s">
        <v>539</v>
      </c>
      <c r="E10" s="16" t="s">
        <v>564</v>
      </c>
      <c r="F10" s="17" t="s">
        <v>696</v>
      </c>
      <c r="G10" s="181">
        <f t="shared" si="0"/>
        <v>0.25</v>
      </c>
      <c r="H10" s="58">
        <v>0.25</v>
      </c>
      <c r="I10" s="58"/>
      <c r="J10" s="58"/>
      <c r="K10" s="58"/>
      <c r="L10" s="58"/>
      <c r="M10" s="58"/>
      <c r="N10" s="58"/>
      <c r="O10" s="58"/>
      <c r="P10" s="58"/>
      <c r="Q10" s="58"/>
    </row>
    <row r="11" spans="1:18" ht="47.25" x14ac:dyDescent="0.25">
      <c r="A11" s="16" t="s">
        <v>538</v>
      </c>
      <c r="B11" s="16" t="s">
        <v>840</v>
      </c>
      <c r="C11" s="68">
        <v>114</v>
      </c>
      <c r="D11" s="16" t="s">
        <v>539</v>
      </c>
      <c r="E11" s="16" t="s">
        <v>540</v>
      </c>
      <c r="F11" s="16" t="s">
        <v>946</v>
      </c>
      <c r="G11" s="181">
        <f t="shared" si="0"/>
        <v>16.221999999999998</v>
      </c>
      <c r="H11" s="287">
        <v>1.056</v>
      </c>
      <c r="I11" s="288">
        <v>1.1259999999999999</v>
      </c>
      <c r="J11" s="288">
        <v>0.76600000000000001</v>
      </c>
      <c r="K11" s="288">
        <v>2.508</v>
      </c>
      <c r="L11" s="288">
        <v>0.58199999999999996</v>
      </c>
      <c r="M11" s="288">
        <v>2.1440000000000001</v>
      </c>
      <c r="N11" s="288">
        <v>3.0379999999999998</v>
      </c>
      <c r="O11" s="288">
        <v>2.6219999999999999</v>
      </c>
      <c r="P11" s="288">
        <v>1.8460000000000001</v>
      </c>
      <c r="Q11" s="288">
        <v>0.53400000000000003</v>
      </c>
    </row>
    <row r="12" spans="1:18" ht="47.25" x14ac:dyDescent="0.25">
      <c r="A12" s="16" t="s">
        <v>538</v>
      </c>
      <c r="B12" s="16" t="s">
        <v>841</v>
      </c>
      <c r="C12" s="68">
        <v>114</v>
      </c>
      <c r="D12" s="16" t="s">
        <v>539</v>
      </c>
      <c r="E12" s="16" t="s">
        <v>540</v>
      </c>
      <c r="F12" s="16" t="s">
        <v>345</v>
      </c>
      <c r="G12" s="181">
        <f t="shared" si="0"/>
        <v>8.9099999999999984</v>
      </c>
      <c r="H12" s="229">
        <v>1.36</v>
      </c>
      <c r="I12" s="58">
        <v>1.02</v>
      </c>
      <c r="J12" s="58">
        <v>0.61</v>
      </c>
      <c r="K12" s="58">
        <v>1.29</v>
      </c>
      <c r="L12" s="58">
        <v>0.61</v>
      </c>
      <c r="M12" s="58">
        <v>0.72</v>
      </c>
      <c r="N12" s="286">
        <v>1.3</v>
      </c>
      <c r="O12" s="58">
        <v>0.89</v>
      </c>
      <c r="P12" s="58">
        <v>0.49</v>
      </c>
      <c r="Q12" s="58">
        <v>0.62</v>
      </c>
    </row>
    <row r="13" spans="1:18" ht="47.25" x14ac:dyDescent="0.25">
      <c r="A13" s="16" t="s">
        <v>538</v>
      </c>
      <c r="B13" s="16" t="s">
        <v>840</v>
      </c>
      <c r="C13" s="68">
        <v>114</v>
      </c>
      <c r="D13" s="16" t="s">
        <v>539</v>
      </c>
      <c r="E13" s="16" t="s">
        <v>401</v>
      </c>
      <c r="F13" s="16" t="s">
        <v>346</v>
      </c>
      <c r="G13" s="181">
        <f t="shared" si="0"/>
        <v>1.24</v>
      </c>
      <c r="H13" s="229">
        <v>1.24</v>
      </c>
      <c r="I13" s="58"/>
      <c r="J13" s="58"/>
      <c r="K13" s="58"/>
      <c r="L13" s="58"/>
      <c r="M13" s="58"/>
      <c r="N13" s="58"/>
      <c r="O13" s="58"/>
      <c r="P13" s="58"/>
      <c r="Q13" s="58"/>
    </row>
    <row r="14" spans="1:18" ht="47.25" x14ac:dyDescent="0.25">
      <c r="A14" s="16" t="s">
        <v>538</v>
      </c>
      <c r="B14" s="16" t="s">
        <v>840</v>
      </c>
      <c r="C14" s="68">
        <v>114</v>
      </c>
      <c r="D14" s="16" t="s">
        <v>539</v>
      </c>
      <c r="E14" s="16" t="s">
        <v>401</v>
      </c>
      <c r="F14" s="16" t="s">
        <v>541</v>
      </c>
      <c r="G14" s="181">
        <f t="shared" si="0"/>
        <v>1.35</v>
      </c>
      <c r="H14" s="229">
        <v>1.35</v>
      </c>
      <c r="I14" s="58"/>
      <c r="J14" s="58"/>
      <c r="K14" s="58"/>
      <c r="L14" s="58"/>
      <c r="M14" s="58"/>
      <c r="N14" s="58"/>
      <c r="O14" s="58"/>
      <c r="P14" s="58"/>
      <c r="Q14" s="58"/>
    </row>
    <row r="15" spans="1:18" ht="47.25" x14ac:dyDescent="0.25">
      <c r="A15" s="16" t="s">
        <v>538</v>
      </c>
      <c r="B15" s="16" t="s">
        <v>840</v>
      </c>
      <c r="C15" s="68">
        <v>114</v>
      </c>
      <c r="D15" s="16" t="s">
        <v>539</v>
      </c>
      <c r="E15" s="16" t="s">
        <v>842</v>
      </c>
      <c r="F15" s="16" t="s">
        <v>843</v>
      </c>
      <c r="G15" s="181">
        <f t="shared" si="0"/>
        <v>4.6899999999999995</v>
      </c>
      <c r="H15" s="229">
        <v>0.2</v>
      </c>
      <c r="I15" s="286">
        <v>0.6</v>
      </c>
      <c r="J15" s="58">
        <v>0.44</v>
      </c>
      <c r="K15" s="289">
        <v>0.7</v>
      </c>
      <c r="L15" s="58">
        <v>0.36</v>
      </c>
      <c r="M15" s="58">
        <v>0.41</v>
      </c>
      <c r="N15" s="58">
        <v>0.76</v>
      </c>
      <c r="O15" s="58">
        <v>0.52</v>
      </c>
      <c r="P15" s="58">
        <v>0.32</v>
      </c>
      <c r="Q15" s="58">
        <v>0.38</v>
      </c>
    </row>
    <row r="16" spans="1:18" s="75" customFormat="1" ht="36.75" customHeight="1" x14ac:dyDescent="0.25">
      <c r="A16" s="46"/>
      <c r="B16" s="46"/>
      <c r="C16" s="40"/>
      <c r="D16" s="46"/>
      <c r="E16" s="46"/>
      <c r="F16" s="46" t="s">
        <v>15</v>
      </c>
      <c r="G16" s="181">
        <f t="shared" ref="G16:Q16" si="1">SUM(G3:G15)</f>
        <v>48.181999999999995</v>
      </c>
      <c r="H16" s="41">
        <f t="shared" si="1"/>
        <v>6.176000000000001</v>
      </c>
      <c r="I16" s="41">
        <f t="shared" si="1"/>
        <v>3.0459999999999998</v>
      </c>
      <c r="J16" s="41">
        <f t="shared" si="1"/>
        <v>2.1160000000000001</v>
      </c>
      <c r="K16" s="41">
        <f t="shared" si="1"/>
        <v>4.798</v>
      </c>
      <c r="L16" s="41">
        <f t="shared" si="1"/>
        <v>2.1519999999999997</v>
      </c>
      <c r="M16" s="41">
        <f t="shared" si="1"/>
        <v>12.124000000000001</v>
      </c>
      <c r="N16" s="41">
        <f t="shared" si="1"/>
        <v>5.6479999999999997</v>
      </c>
      <c r="O16" s="41">
        <f t="shared" si="1"/>
        <v>7.3320000000000007</v>
      </c>
      <c r="P16" s="41">
        <f t="shared" si="1"/>
        <v>2.956</v>
      </c>
      <c r="Q16" s="41">
        <f t="shared" si="1"/>
        <v>1.8340000000000001</v>
      </c>
      <c r="R16" s="170"/>
    </row>
    <row r="17" spans="1:18" s="84" customFormat="1" x14ac:dyDescent="0.25">
      <c r="A17" s="76"/>
      <c r="B17" s="76"/>
      <c r="D17" s="76"/>
      <c r="E17" s="76"/>
      <c r="F17" s="45"/>
      <c r="G17" s="70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</sheetData>
  <autoFilter ref="A2:H16" xr:uid="{00000000-0009-0000-0000-00001E000000}"/>
  <mergeCells count="1">
    <mergeCell ref="A1:G1"/>
  </mergeCells>
  <pageMargins left="0.25" right="0.25" top="0.75" bottom="0.75" header="0.3" footer="0.3"/>
  <pageSetup paperSize="5" scale="58" fitToHeight="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05B5-42FE-45F5-9D48-09C676CE75C5}">
  <sheetPr>
    <tabColor rgb="FFFF0000"/>
    <pageSetUpPr fitToPage="1"/>
  </sheetPr>
  <dimension ref="A1:S13"/>
  <sheetViews>
    <sheetView view="pageBreakPreview" zoomScale="85" zoomScaleSheetLayoutView="85" workbookViewId="0">
      <selection activeCell="L6" sqref="L6"/>
    </sheetView>
  </sheetViews>
  <sheetFormatPr defaultColWidth="9.140625" defaultRowHeight="15.75" x14ac:dyDescent="0.25"/>
  <cols>
    <col min="1" max="1" width="8.28515625" style="84" bestFit="1" customWidth="1"/>
    <col min="2" max="2" width="25.85546875" style="84" customWidth="1"/>
    <col min="3" max="3" width="6.42578125" style="84" bestFit="1" customWidth="1"/>
    <col min="4" max="4" width="31.42578125" style="76" customWidth="1"/>
    <col min="5" max="5" width="30.140625" style="76" customWidth="1"/>
    <col min="6" max="6" width="41.7109375" style="45" customWidth="1"/>
    <col min="7" max="7" width="15.42578125" style="170" customWidth="1"/>
    <col min="8" max="9" width="12.140625" style="72" customWidth="1"/>
    <col min="10" max="11" width="10.85546875" style="72" customWidth="1"/>
    <col min="12" max="13" width="12.140625" style="72" customWidth="1"/>
    <col min="14" max="17" width="11" style="72" customWidth="1"/>
    <col min="18" max="18" width="6.7109375" style="72" customWidth="1"/>
    <col min="19" max="19" width="9.140625" style="72"/>
    <col min="20" max="16384" width="9.140625" style="45"/>
  </cols>
  <sheetData>
    <row r="1" spans="1:19" ht="38.25" customHeight="1" x14ac:dyDescent="0.25">
      <c r="A1" s="354" t="s">
        <v>871</v>
      </c>
      <c r="B1" s="351"/>
      <c r="C1" s="351"/>
      <c r="D1" s="351"/>
      <c r="E1" s="351"/>
      <c r="F1" s="351"/>
      <c r="G1" s="352"/>
      <c r="H1" s="46"/>
      <c r="I1" s="46"/>
      <c r="J1" s="46"/>
      <c r="K1" s="46"/>
      <c r="L1" s="46"/>
      <c r="M1" s="46"/>
      <c r="N1" s="46"/>
      <c r="O1" s="46"/>
      <c r="P1" s="46"/>
      <c r="Q1" s="46"/>
      <c r="R1" s="71"/>
    </row>
    <row r="2" spans="1:19" s="71" customFormat="1" ht="55.5" customHeight="1" x14ac:dyDescent="0.25">
      <c r="A2" s="40" t="s">
        <v>0</v>
      </c>
      <c r="B2" s="40" t="s">
        <v>18</v>
      </c>
      <c r="C2" s="40" t="s">
        <v>17</v>
      </c>
      <c r="D2" s="40" t="s">
        <v>486</v>
      </c>
      <c r="E2" s="40" t="s">
        <v>506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  <c r="R2" s="70"/>
      <c r="S2" s="70"/>
    </row>
    <row r="3" spans="1:19" s="71" customFormat="1" x14ac:dyDescent="0.25">
      <c r="A3" s="40"/>
      <c r="B3" s="40"/>
      <c r="C3" s="40"/>
      <c r="D3" s="40"/>
      <c r="E3" s="40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70"/>
      <c r="S3" s="70"/>
    </row>
    <row r="4" spans="1:19" ht="31.5" x14ac:dyDescent="0.25">
      <c r="A4" s="68" t="s">
        <v>697</v>
      </c>
      <c r="B4" s="68" t="s">
        <v>775</v>
      </c>
      <c r="C4" s="68">
        <v>116</v>
      </c>
      <c r="D4" s="16" t="s">
        <v>591</v>
      </c>
      <c r="E4" s="16" t="s">
        <v>592</v>
      </c>
      <c r="F4" s="17" t="s">
        <v>95</v>
      </c>
      <c r="G4" s="235">
        <f t="shared" ref="G4:H10" si="0">SUM(H4:Q4)</f>
        <v>2.5299999999999998</v>
      </c>
      <c r="H4" s="174">
        <v>2.5299999999999998</v>
      </c>
      <c r="I4" s="175"/>
      <c r="J4" s="176"/>
      <c r="K4" s="176"/>
      <c r="L4" s="177"/>
      <c r="M4" s="175"/>
      <c r="N4" s="176"/>
      <c r="O4" s="176"/>
      <c r="P4" s="176"/>
      <c r="Q4" s="176"/>
    </row>
    <row r="5" spans="1:19" ht="47.25" x14ac:dyDescent="0.25">
      <c r="A5" s="68" t="s">
        <v>697</v>
      </c>
      <c r="B5" s="68" t="s">
        <v>775</v>
      </c>
      <c r="C5" s="68">
        <v>116</v>
      </c>
      <c r="D5" s="16" t="s">
        <v>591</v>
      </c>
      <c r="E5" s="16" t="s">
        <v>401</v>
      </c>
      <c r="F5" s="17" t="s">
        <v>96</v>
      </c>
      <c r="G5" s="235">
        <f t="shared" si="0"/>
        <v>6.77</v>
      </c>
      <c r="H5" s="174">
        <v>6.77</v>
      </c>
      <c r="I5" s="177"/>
      <c r="J5" s="176"/>
      <c r="K5" s="176"/>
      <c r="L5" s="176"/>
      <c r="M5" s="177"/>
      <c r="N5" s="176"/>
      <c r="O5" s="176"/>
      <c r="P5" s="176"/>
      <c r="Q5" s="176"/>
    </row>
    <row r="6" spans="1:19" ht="47.25" x14ac:dyDescent="0.25">
      <c r="A6" s="68" t="s">
        <v>697</v>
      </c>
      <c r="B6" s="68" t="s">
        <v>775</v>
      </c>
      <c r="C6" s="68">
        <v>116</v>
      </c>
      <c r="D6" s="16" t="s">
        <v>591</v>
      </c>
      <c r="E6" s="16" t="s">
        <v>469</v>
      </c>
      <c r="F6" s="17" t="s">
        <v>97</v>
      </c>
      <c r="G6" s="235">
        <f t="shared" si="0"/>
        <v>4.7699999999999996</v>
      </c>
      <c r="H6" s="174">
        <v>4.7699999999999996</v>
      </c>
      <c r="I6" s="176"/>
      <c r="J6" s="176"/>
      <c r="K6" s="176"/>
      <c r="L6" s="176"/>
      <c r="M6" s="176"/>
      <c r="N6" s="176"/>
      <c r="O6" s="176"/>
      <c r="P6" s="176"/>
      <c r="Q6" s="176"/>
    </row>
    <row r="7" spans="1:19" ht="31.5" x14ac:dyDescent="0.25">
      <c r="A7" s="68" t="s">
        <v>697</v>
      </c>
      <c r="B7" s="68" t="s">
        <v>775</v>
      </c>
      <c r="C7" s="68">
        <v>116</v>
      </c>
      <c r="D7" s="16" t="s">
        <v>591</v>
      </c>
      <c r="E7" s="16" t="s">
        <v>401</v>
      </c>
      <c r="F7" s="17" t="s">
        <v>98</v>
      </c>
      <c r="G7" s="235">
        <f t="shared" si="0"/>
        <v>0</v>
      </c>
      <c r="H7" s="174">
        <f t="shared" si="0"/>
        <v>0</v>
      </c>
      <c r="I7" s="176"/>
      <c r="J7" s="176"/>
      <c r="K7" s="176"/>
      <c r="L7" s="176"/>
      <c r="M7" s="176"/>
      <c r="N7" s="176"/>
      <c r="O7" s="176"/>
      <c r="P7" s="176"/>
      <c r="Q7" s="176"/>
    </row>
    <row r="8" spans="1:19" ht="31.5" x14ac:dyDescent="0.25">
      <c r="A8" s="68" t="s">
        <v>697</v>
      </c>
      <c r="B8" s="68" t="s">
        <v>775</v>
      </c>
      <c r="C8" s="68">
        <v>116</v>
      </c>
      <c r="D8" s="16" t="s">
        <v>591</v>
      </c>
      <c r="E8" s="16" t="s">
        <v>401</v>
      </c>
      <c r="F8" s="17" t="s">
        <v>99</v>
      </c>
      <c r="G8" s="235">
        <f t="shared" si="0"/>
        <v>0</v>
      </c>
      <c r="H8" s="174">
        <f t="shared" si="0"/>
        <v>0</v>
      </c>
      <c r="I8" s="176"/>
      <c r="J8" s="176"/>
      <c r="K8" s="176"/>
      <c r="L8" s="176"/>
      <c r="M8" s="176"/>
      <c r="N8" s="176"/>
      <c r="O8" s="176"/>
      <c r="P8" s="176"/>
      <c r="Q8" s="176"/>
    </row>
    <row r="9" spans="1:19" ht="47.25" x14ac:dyDescent="0.25">
      <c r="A9" s="68" t="s">
        <v>697</v>
      </c>
      <c r="B9" s="68" t="s">
        <v>775</v>
      </c>
      <c r="C9" s="68">
        <v>116</v>
      </c>
      <c r="D9" s="16" t="s">
        <v>591</v>
      </c>
      <c r="E9" s="16" t="s">
        <v>910</v>
      </c>
      <c r="F9" s="17" t="s">
        <v>100</v>
      </c>
      <c r="G9" s="235">
        <f t="shared" si="0"/>
        <v>35.590000000000003</v>
      </c>
      <c r="H9" s="174">
        <v>35.590000000000003</v>
      </c>
      <c r="I9" s="177"/>
      <c r="J9" s="176"/>
      <c r="K9" s="176"/>
      <c r="L9" s="177"/>
      <c r="M9" s="177"/>
      <c r="N9" s="176"/>
      <c r="O9" s="176"/>
      <c r="P9" s="176"/>
      <c r="Q9" s="176"/>
    </row>
    <row r="10" spans="1:19" ht="47.25" x14ac:dyDescent="0.25">
      <c r="A10" s="68" t="s">
        <v>697</v>
      </c>
      <c r="B10" s="68" t="s">
        <v>775</v>
      </c>
      <c r="C10" s="68">
        <v>116</v>
      </c>
      <c r="D10" s="16" t="s">
        <v>591</v>
      </c>
      <c r="E10" s="16" t="s">
        <v>593</v>
      </c>
      <c r="F10" s="17" t="s">
        <v>101</v>
      </c>
      <c r="G10" s="235">
        <f t="shared" si="0"/>
        <v>9.85</v>
      </c>
      <c r="H10" s="174">
        <v>9.85</v>
      </c>
      <c r="I10" s="176"/>
      <c r="J10" s="176"/>
      <c r="K10" s="176"/>
      <c r="L10" s="176"/>
      <c r="M10" s="176"/>
      <c r="N10" s="176"/>
      <c r="O10" s="176"/>
      <c r="P10" s="176"/>
      <c r="Q10" s="176"/>
    </row>
    <row r="11" spans="1:19" s="75" customFormat="1" ht="36" customHeight="1" x14ac:dyDescent="0.25">
      <c r="A11" s="40"/>
      <c r="B11" s="40"/>
      <c r="C11" s="40"/>
      <c r="D11" s="46"/>
      <c r="E11" s="46"/>
      <c r="F11" s="46" t="s">
        <v>20</v>
      </c>
      <c r="G11" s="235">
        <f t="shared" ref="G11:Q11" si="1">SUM(G4:G10)</f>
        <v>59.510000000000005</v>
      </c>
      <c r="H11" s="174">
        <f t="shared" si="1"/>
        <v>59.510000000000005</v>
      </c>
      <c r="I11" s="174">
        <f t="shared" si="1"/>
        <v>0</v>
      </c>
      <c r="J11" s="174">
        <f t="shared" si="1"/>
        <v>0</v>
      </c>
      <c r="K11" s="174">
        <f t="shared" si="1"/>
        <v>0</v>
      </c>
      <c r="L11" s="174">
        <f t="shared" si="1"/>
        <v>0</v>
      </c>
      <c r="M11" s="174">
        <f t="shared" si="1"/>
        <v>0</v>
      </c>
      <c r="N11" s="174">
        <f t="shared" si="1"/>
        <v>0</v>
      </c>
      <c r="O11" s="174">
        <f t="shared" si="1"/>
        <v>0</v>
      </c>
      <c r="P11" s="174">
        <f t="shared" si="1"/>
        <v>0</v>
      </c>
      <c r="Q11" s="174">
        <f t="shared" si="1"/>
        <v>0</v>
      </c>
      <c r="R11" s="72"/>
      <c r="S11" s="42"/>
    </row>
    <row r="12" spans="1:19" s="84" customFormat="1" x14ac:dyDescent="0.25">
      <c r="D12" s="76"/>
      <c r="E12" s="76"/>
      <c r="F12" s="45"/>
      <c r="G12" s="70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s="84" customFormat="1" x14ac:dyDescent="0.25">
      <c r="D13" s="76"/>
      <c r="E13" s="76"/>
      <c r="F13" s="45"/>
      <c r="G13" s="70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</sheetData>
  <autoFilter ref="A3:Q11" xr:uid="{AD9605B5-42FE-45F5-9D48-09C676CE75C5}">
    <sortState xmlns:xlrd2="http://schemas.microsoft.com/office/spreadsheetml/2017/richdata2" ref="A4:Q11">
      <sortCondition ref="D3:D11"/>
    </sortState>
  </autoFilter>
  <mergeCells count="1">
    <mergeCell ref="A1:G1"/>
  </mergeCells>
  <pageMargins left="0.7" right="0.7" top="0.75" bottom="0.75" header="0.3" footer="0.3"/>
  <pageSetup paperSize="5" scale="58" fitToHeight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F81E-56E8-4A35-99C2-819C76147262}">
  <sheetPr>
    <tabColor rgb="FFFF0000"/>
    <pageSetUpPr fitToPage="1"/>
  </sheetPr>
  <dimension ref="A1:Q14"/>
  <sheetViews>
    <sheetView view="pageBreakPreview" zoomScaleNormal="100" zoomScaleSheetLayoutView="100" workbookViewId="0">
      <selection activeCell="J17" sqref="J17"/>
    </sheetView>
  </sheetViews>
  <sheetFormatPr defaultColWidth="8.85546875" defaultRowHeight="15.75" x14ac:dyDescent="0.25"/>
  <cols>
    <col min="1" max="1" width="10.28515625" style="87" bestFit="1" customWidth="1"/>
    <col min="2" max="2" width="12.42578125" style="87" bestFit="1" customWidth="1"/>
    <col min="3" max="3" width="7.42578125" style="87" customWidth="1"/>
    <col min="4" max="4" width="23.85546875" style="87" customWidth="1"/>
    <col min="5" max="5" width="26.140625" style="87" customWidth="1"/>
    <col min="6" max="6" width="29.85546875" style="87" customWidth="1"/>
    <col min="7" max="7" width="13.85546875" style="88" customWidth="1"/>
    <col min="8" max="8" width="11.28515625" style="87" customWidth="1"/>
    <col min="9" max="9" width="10.140625" style="87" customWidth="1"/>
    <col min="10" max="10" width="12.28515625" style="87" customWidth="1"/>
    <col min="11" max="11" width="10.42578125" style="87" customWidth="1"/>
    <col min="12" max="12" width="9.85546875" style="87" bestFit="1" customWidth="1"/>
    <col min="13" max="13" width="11" style="87" customWidth="1"/>
    <col min="14" max="14" width="12.42578125" style="87" customWidth="1"/>
    <col min="15" max="15" width="11" style="87" customWidth="1"/>
    <col min="16" max="16" width="8.85546875" style="87"/>
    <col min="17" max="17" width="9.42578125" style="87" customWidth="1"/>
    <col min="18" max="19" width="8.85546875" style="87"/>
    <col min="20" max="20" width="18.28515625" style="87" customWidth="1"/>
    <col min="21" max="21" width="13.7109375" style="87" customWidth="1"/>
    <col min="22" max="16384" width="8.85546875" style="87"/>
  </cols>
  <sheetData>
    <row r="1" spans="1:17" ht="21" customHeight="1" x14ac:dyDescent="0.25">
      <c r="A1" s="351" t="s">
        <v>872</v>
      </c>
      <c r="B1" s="351"/>
      <c r="C1" s="351"/>
      <c r="D1" s="351"/>
      <c r="E1" s="351"/>
      <c r="F1" s="351"/>
      <c r="G1" s="352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31.5" x14ac:dyDescent="0.25">
      <c r="A2" s="40" t="s">
        <v>705</v>
      </c>
      <c r="B2" s="40" t="s">
        <v>18</v>
      </c>
      <c r="C2" s="40" t="s">
        <v>17</v>
      </c>
      <c r="D2" s="40" t="s">
        <v>486</v>
      </c>
      <c r="E2" s="40" t="s">
        <v>1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</row>
    <row r="3" spans="1:17" x14ac:dyDescent="0.25">
      <c r="A3" s="40"/>
      <c r="B3" s="40"/>
      <c r="C3" s="40"/>
      <c r="D3" s="40"/>
      <c r="E3" s="40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1.5" x14ac:dyDescent="0.25">
      <c r="A4" s="68" t="s">
        <v>776</v>
      </c>
      <c r="B4" s="68" t="s">
        <v>32</v>
      </c>
      <c r="C4" s="68">
        <v>119</v>
      </c>
      <c r="D4" s="16" t="s">
        <v>778</v>
      </c>
      <c r="E4" s="17" t="s">
        <v>426</v>
      </c>
      <c r="F4" s="85" t="s">
        <v>594</v>
      </c>
      <c r="G4" s="181">
        <f t="shared" ref="G4:G7" si="0">SUM(H4:Q4)</f>
        <v>2.1800000000000002</v>
      </c>
      <c r="H4" s="58">
        <v>2.1800000000000002</v>
      </c>
      <c r="I4" s="54"/>
      <c r="J4" s="54"/>
      <c r="K4" s="54"/>
      <c r="L4" s="54"/>
      <c r="M4" s="54"/>
      <c r="N4" s="54"/>
      <c r="O4" s="54"/>
      <c r="P4" s="54"/>
      <c r="Q4" s="54"/>
    </row>
    <row r="5" spans="1:17" ht="31.5" x14ac:dyDescent="0.25">
      <c r="A5" s="68" t="s">
        <v>776</v>
      </c>
      <c r="B5" s="68" t="s">
        <v>32</v>
      </c>
      <c r="C5" s="68">
        <v>119</v>
      </c>
      <c r="D5" s="16" t="s">
        <v>778</v>
      </c>
      <c r="E5" s="17" t="s">
        <v>426</v>
      </c>
      <c r="F5" s="85" t="s">
        <v>595</v>
      </c>
      <c r="G5" s="181">
        <f t="shared" si="0"/>
        <v>12.98</v>
      </c>
      <c r="H5" s="58">
        <v>12.98</v>
      </c>
      <c r="I5" s="54"/>
      <c r="J5" s="54"/>
      <c r="K5" s="54"/>
      <c r="L5" s="54"/>
      <c r="M5" s="54"/>
      <c r="N5" s="54"/>
      <c r="O5" s="54"/>
      <c r="P5" s="54"/>
      <c r="Q5" s="54"/>
    </row>
    <row r="6" spans="1:17" ht="30.75" customHeight="1" x14ac:dyDescent="0.25">
      <c r="A6" s="68" t="s">
        <v>776</v>
      </c>
      <c r="B6" s="68" t="s">
        <v>32</v>
      </c>
      <c r="C6" s="68">
        <v>119</v>
      </c>
      <c r="D6" s="16" t="s">
        <v>778</v>
      </c>
      <c r="E6" s="17" t="s">
        <v>427</v>
      </c>
      <c r="F6" s="85" t="s">
        <v>777</v>
      </c>
      <c r="G6" s="232">
        <f t="shared" si="0"/>
        <v>3.32</v>
      </c>
      <c r="H6" s="154">
        <v>3.32</v>
      </c>
      <c r="I6" s="155"/>
      <c r="J6" s="155"/>
      <c r="K6" s="155"/>
      <c r="L6" s="155"/>
      <c r="M6" s="155"/>
      <c r="N6" s="155"/>
      <c r="O6" s="155"/>
      <c r="P6" s="155"/>
      <c r="Q6" s="155"/>
    </row>
    <row r="7" spans="1:17" ht="29.25" customHeight="1" x14ac:dyDescent="0.25">
      <c r="A7" s="68" t="s">
        <v>776</v>
      </c>
      <c r="B7" s="68" t="s">
        <v>32</v>
      </c>
      <c r="C7" s="68">
        <v>119</v>
      </c>
      <c r="D7" s="16" t="s">
        <v>778</v>
      </c>
      <c r="E7" s="17" t="s">
        <v>427</v>
      </c>
      <c r="F7" s="85" t="s">
        <v>824</v>
      </c>
      <c r="G7" s="232">
        <f t="shared" si="0"/>
        <v>1.5</v>
      </c>
      <c r="H7" s="154">
        <v>1.5</v>
      </c>
      <c r="I7" s="155"/>
      <c r="J7" s="155"/>
      <c r="K7" s="155"/>
      <c r="L7" s="155"/>
      <c r="M7" s="155"/>
      <c r="N7" s="155"/>
      <c r="O7" s="155"/>
      <c r="P7" s="155"/>
      <c r="Q7" s="155"/>
    </row>
    <row r="8" spans="1:17" ht="30" customHeight="1" x14ac:dyDescent="0.25">
      <c r="A8" s="68" t="s">
        <v>776</v>
      </c>
      <c r="B8" s="68" t="s">
        <v>32</v>
      </c>
      <c r="C8" s="68">
        <v>119</v>
      </c>
      <c r="D8" s="16" t="s">
        <v>778</v>
      </c>
      <c r="E8" s="17" t="s">
        <v>428</v>
      </c>
      <c r="F8" s="85" t="s">
        <v>596</v>
      </c>
      <c r="G8" s="181">
        <f t="shared" ref="G8:G13" si="1">SUM(H8:Q8)</f>
        <v>0.48</v>
      </c>
      <c r="H8" s="58">
        <v>0.48</v>
      </c>
      <c r="I8" s="54"/>
      <c r="J8" s="54"/>
      <c r="K8" s="54"/>
      <c r="L8" s="54"/>
      <c r="M8" s="54"/>
      <c r="N8" s="54"/>
      <c r="O8" s="54"/>
      <c r="P8" s="54"/>
      <c r="Q8" s="54"/>
    </row>
    <row r="9" spans="1:17" ht="31.5" x14ac:dyDescent="0.25">
      <c r="A9" s="68" t="s">
        <v>776</v>
      </c>
      <c r="B9" s="68" t="s">
        <v>32</v>
      </c>
      <c r="C9" s="68">
        <v>119</v>
      </c>
      <c r="D9" s="16" t="s">
        <v>778</v>
      </c>
      <c r="E9" s="17" t="s">
        <v>428</v>
      </c>
      <c r="F9" s="85" t="s">
        <v>675</v>
      </c>
      <c r="G9" s="181">
        <f t="shared" si="1"/>
        <v>3.2399999999999993</v>
      </c>
      <c r="H9" s="58"/>
      <c r="I9" s="153">
        <v>0.36</v>
      </c>
      <c r="J9" s="153">
        <v>0.36</v>
      </c>
      <c r="K9" s="153">
        <v>0.36</v>
      </c>
      <c r="L9" s="153">
        <v>0.36</v>
      </c>
      <c r="M9" s="153">
        <v>0.36</v>
      </c>
      <c r="N9" s="153">
        <v>0.36</v>
      </c>
      <c r="O9" s="153">
        <v>0.36</v>
      </c>
      <c r="P9" s="153">
        <v>0.36</v>
      </c>
      <c r="Q9" s="153">
        <v>0.36</v>
      </c>
    </row>
    <row r="10" spans="1:17" ht="31.5" x14ac:dyDescent="0.25">
      <c r="A10" s="68" t="s">
        <v>776</v>
      </c>
      <c r="B10" s="68" t="s">
        <v>32</v>
      </c>
      <c r="C10" s="68">
        <v>119</v>
      </c>
      <c r="D10" s="16" t="s">
        <v>778</v>
      </c>
      <c r="E10" s="17" t="s">
        <v>401</v>
      </c>
      <c r="F10" s="85" t="s">
        <v>597</v>
      </c>
      <c r="G10" s="181">
        <f t="shared" si="1"/>
        <v>2.09</v>
      </c>
      <c r="H10" s="58">
        <v>2.09</v>
      </c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31.5" x14ac:dyDescent="0.25">
      <c r="A11" s="68" t="s">
        <v>776</v>
      </c>
      <c r="B11" s="68" t="s">
        <v>32</v>
      </c>
      <c r="C11" s="68">
        <v>119</v>
      </c>
      <c r="D11" s="16" t="s">
        <v>778</v>
      </c>
      <c r="E11" s="17" t="s">
        <v>401</v>
      </c>
      <c r="F11" s="85" t="s">
        <v>425</v>
      </c>
      <c r="G11" s="181">
        <f t="shared" si="1"/>
        <v>7.56</v>
      </c>
      <c r="H11" s="58"/>
      <c r="I11" s="153">
        <v>0.84</v>
      </c>
      <c r="J11" s="153">
        <v>0.84</v>
      </c>
      <c r="K11" s="153">
        <v>0.84</v>
      </c>
      <c r="L11" s="153">
        <v>0.84</v>
      </c>
      <c r="M11" s="153">
        <v>0.84</v>
      </c>
      <c r="N11" s="153">
        <v>0.84</v>
      </c>
      <c r="O11" s="153">
        <v>0.84</v>
      </c>
      <c r="P11" s="153">
        <v>0.84</v>
      </c>
      <c r="Q11" s="153">
        <v>0.84</v>
      </c>
    </row>
    <row r="12" spans="1:17" ht="31.5" x14ac:dyDescent="0.25">
      <c r="A12" s="68" t="s">
        <v>776</v>
      </c>
      <c r="B12" s="68" t="s">
        <v>32</v>
      </c>
      <c r="C12" s="68">
        <v>119</v>
      </c>
      <c r="D12" s="16" t="s">
        <v>778</v>
      </c>
      <c r="E12" s="17" t="s">
        <v>401</v>
      </c>
      <c r="F12" s="85" t="s">
        <v>598</v>
      </c>
      <c r="G12" s="181">
        <f t="shared" si="1"/>
        <v>0.5</v>
      </c>
      <c r="H12" s="58">
        <v>0.5</v>
      </c>
      <c r="I12" s="54"/>
      <c r="J12" s="54"/>
      <c r="K12" s="54"/>
      <c r="L12" s="54"/>
      <c r="M12" s="54"/>
      <c r="N12" s="54"/>
      <c r="O12" s="54"/>
      <c r="P12" s="54"/>
      <c r="Q12" s="54"/>
    </row>
    <row r="13" spans="1:17" ht="31.5" x14ac:dyDescent="0.25">
      <c r="A13" s="68" t="s">
        <v>776</v>
      </c>
      <c r="B13" s="68" t="s">
        <v>32</v>
      </c>
      <c r="C13" s="68">
        <v>119</v>
      </c>
      <c r="D13" s="16" t="s">
        <v>778</v>
      </c>
      <c r="E13" s="17" t="s">
        <v>429</v>
      </c>
      <c r="F13" s="85" t="s">
        <v>119</v>
      </c>
      <c r="G13" s="181">
        <f t="shared" si="1"/>
        <v>1.44</v>
      </c>
      <c r="H13" s="58">
        <v>1.44</v>
      </c>
      <c r="I13" s="54"/>
      <c r="J13" s="54"/>
      <c r="K13" s="54"/>
      <c r="L13" s="54"/>
      <c r="M13" s="54"/>
      <c r="N13" s="54"/>
      <c r="O13" s="54"/>
      <c r="P13" s="54"/>
      <c r="Q13" s="54"/>
    </row>
    <row r="14" spans="1:17" ht="33" customHeight="1" x14ac:dyDescent="0.25">
      <c r="A14" s="355"/>
      <c r="B14" s="355"/>
      <c r="C14" s="355"/>
      <c r="D14" s="355"/>
      <c r="E14" s="355"/>
      <c r="F14" s="356"/>
      <c r="G14" s="236">
        <f t="shared" ref="G14:Q14" si="2">SUM(G4:G13)</f>
        <v>35.29</v>
      </c>
      <c r="H14" s="86">
        <f t="shared" si="2"/>
        <v>24.490000000000002</v>
      </c>
      <c r="I14" s="86">
        <f t="shared" si="2"/>
        <v>1.2</v>
      </c>
      <c r="J14" s="86">
        <f t="shared" si="2"/>
        <v>1.2</v>
      </c>
      <c r="K14" s="86">
        <f t="shared" si="2"/>
        <v>1.2</v>
      </c>
      <c r="L14" s="86">
        <f t="shared" si="2"/>
        <v>1.2</v>
      </c>
      <c r="M14" s="86">
        <f t="shared" si="2"/>
        <v>1.2</v>
      </c>
      <c r="N14" s="86">
        <f t="shared" si="2"/>
        <v>1.2</v>
      </c>
      <c r="O14" s="86">
        <f t="shared" si="2"/>
        <v>1.2</v>
      </c>
      <c r="P14" s="86">
        <f t="shared" si="2"/>
        <v>1.2</v>
      </c>
      <c r="Q14" s="86">
        <f t="shared" si="2"/>
        <v>1.2</v>
      </c>
    </row>
  </sheetData>
  <autoFilter ref="A3:Q14" xr:uid="{5CC1F81E-56E8-4A35-99C2-819C76147262}"/>
  <mergeCells count="2">
    <mergeCell ref="A1:G1"/>
    <mergeCell ref="A14:F14"/>
  </mergeCells>
  <pageMargins left="0.7" right="0.7" top="0.75" bottom="0.75" header="0.3" footer="0.3"/>
  <pageSetup paperSize="5" scale="69" fitToHeight="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2D11-0871-4450-94EA-19834D678995}">
  <sheetPr>
    <tabColor rgb="FFFF0000"/>
    <pageSetUpPr fitToPage="1"/>
  </sheetPr>
  <dimension ref="A1:Q11"/>
  <sheetViews>
    <sheetView view="pageBreakPreview" topLeftCell="C1" zoomScale="115" zoomScaleNormal="115" zoomScaleSheetLayoutView="115" workbookViewId="0">
      <selection activeCell="J14" sqref="J14"/>
    </sheetView>
  </sheetViews>
  <sheetFormatPr defaultColWidth="8.85546875" defaultRowHeight="15" x14ac:dyDescent="0.25"/>
  <cols>
    <col min="1" max="1" width="11.140625" style="47" bestFit="1" customWidth="1"/>
    <col min="2" max="2" width="13.85546875" style="47" customWidth="1"/>
    <col min="3" max="3" width="5.85546875" style="47" bestFit="1" customWidth="1"/>
    <col min="4" max="5" width="21" style="47" customWidth="1"/>
    <col min="6" max="6" width="27.140625" style="47" customWidth="1"/>
    <col min="7" max="7" width="12.42578125" style="47" customWidth="1"/>
    <col min="8" max="17" width="14.140625" style="47" customWidth="1"/>
    <col min="18" max="18" width="11.42578125" style="47" customWidth="1"/>
    <col min="19" max="19" width="9" style="47" customWidth="1"/>
    <col min="20" max="20" width="13.7109375" style="47" customWidth="1"/>
    <col min="21" max="21" width="17.42578125" style="47" customWidth="1"/>
    <col min="22" max="22" width="23.85546875" style="47" customWidth="1"/>
    <col min="23" max="16384" width="8.85546875" style="47"/>
  </cols>
  <sheetData>
    <row r="1" spans="1:17" ht="27" customHeight="1" x14ac:dyDescent="0.25">
      <c r="A1" s="351" t="s">
        <v>873</v>
      </c>
      <c r="B1" s="351"/>
      <c r="C1" s="351"/>
      <c r="D1" s="351"/>
      <c r="E1" s="351"/>
      <c r="F1" s="351"/>
      <c r="G1" s="352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31.5" x14ac:dyDescent="0.25">
      <c r="A2" s="40" t="s">
        <v>705</v>
      </c>
      <c r="B2" s="40" t="s">
        <v>18</v>
      </c>
      <c r="C2" s="40" t="s">
        <v>17</v>
      </c>
      <c r="D2" s="40" t="s">
        <v>486</v>
      </c>
      <c r="E2" s="40" t="s">
        <v>487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</row>
    <row r="3" spans="1:17" ht="15.75" x14ac:dyDescent="0.25">
      <c r="A3" s="40"/>
      <c r="B3" s="40"/>
      <c r="C3" s="40"/>
      <c r="D3" s="40"/>
      <c r="E3" s="40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47.25" x14ac:dyDescent="0.25">
      <c r="A4" s="68" t="s">
        <v>779</v>
      </c>
      <c r="B4" s="68" t="s">
        <v>31</v>
      </c>
      <c r="C4" s="68">
        <v>122</v>
      </c>
      <c r="D4" s="16" t="s">
        <v>657</v>
      </c>
      <c r="E4" s="16" t="s">
        <v>421</v>
      </c>
      <c r="F4" s="16" t="s">
        <v>120</v>
      </c>
      <c r="G4" s="181">
        <f>SUM(H4:Q4)</f>
        <v>10.130000000000001</v>
      </c>
      <c r="H4" s="58">
        <v>10.130000000000001</v>
      </c>
      <c r="I4" s="54"/>
      <c r="J4" s="54"/>
      <c r="K4" s="54"/>
      <c r="L4" s="54"/>
      <c r="M4" s="54"/>
      <c r="N4" s="54"/>
      <c r="O4" s="54"/>
      <c r="P4" s="54"/>
      <c r="Q4" s="54"/>
    </row>
    <row r="5" spans="1:17" ht="31.5" x14ac:dyDescent="0.25">
      <c r="A5" s="68" t="s">
        <v>779</v>
      </c>
      <c r="B5" s="68" t="s">
        <v>31</v>
      </c>
      <c r="C5" s="68">
        <v>122</v>
      </c>
      <c r="D5" s="16" t="s">
        <v>657</v>
      </c>
      <c r="E5" s="16" t="s">
        <v>422</v>
      </c>
      <c r="F5" s="16" t="s">
        <v>423</v>
      </c>
      <c r="G5" s="181">
        <f>SUM(H5:Q5)</f>
        <v>3.99</v>
      </c>
      <c r="H5" s="120">
        <v>3.99</v>
      </c>
      <c r="I5" s="171"/>
      <c r="J5" s="171"/>
      <c r="K5" s="171"/>
      <c r="L5" s="171"/>
      <c r="M5" s="171"/>
      <c r="N5" s="171"/>
      <c r="O5" s="171"/>
      <c r="P5" s="171"/>
      <c r="Q5" s="171"/>
    </row>
    <row r="6" spans="1:17" ht="31.5" x14ac:dyDescent="0.25">
      <c r="A6" s="68" t="s">
        <v>779</v>
      </c>
      <c r="B6" s="68" t="s">
        <v>31</v>
      </c>
      <c r="C6" s="68">
        <v>121</v>
      </c>
      <c r="D6" s="16" t="s">
        <v>658</v>
      </c>
      <c r="E6" s="16" t="s">
        <v>424</v>
      </c>
      <c r="F6" s="16" t="s">
        <v>420</v>
      </c>
      <c r="G6" s="181">
        <f>SUM(H6:Q6)</f>
        <v>6.1600000000000019</v>
      </c>
      <c r="H6" s="120">
        <v>2.6</v>
      </c>
      <c r="I6" s="171">
        <v>0.24</v>
      </c>
      <c r="J6" s="171">
        <v>0.24</v>
      </c>
      <c r="K6" s="171">
        <v>0.44</v>
      </c>
      <c r="L6" s="171">
        <v>0.44</v>
      </c>
      <c r="M6" s="171">
        <v>0.44</v>
      </c>
      <c r="N6" s="171">
        <v>0.44</v>
      </c>
      <c r="O6" s="171">
        <v>0.44</v>
      </c>
      <c r="P6" s="171">
        <v>0.44</v>
      </c>
      <c r="Q6" s="54">
        <v>0.44</v>
      </c>
    </row>
    <row r="7" spans="1:17" ht="27" customHeight="1" x14ac:dyDescent="0.25">
      <c r="A7" s="172"/>
      <c r="B7" s="172"/>
      <c r="C7" s="172"/>
      <c r="D7" s="172"/>
      <c r="E7" s="172"/>
      <c r="F7" s="172" t="s">
        <v>20</v>
      </c>
      <c r="G7" s="236">
        <f t="shared" ref="G7:Q7" si="0">SUM(G4:G6)</f>
        <v>20.28</v>
      </c>
      <c r="H7" s="86">
        <f t="shared" si="0"/>
        <v>16.720000000000002</v>
      </c>
      <c r="I7" s="86">
        <f t="shared" si="0"/>
        <v>0.24</v>
      </c>
      <c r="J7" s="86">
        <f t="shared" si="0"/>
        <v>0.24</v>
      </c>
      <c r="K7" s="86">
        <f t="shared" si="0"/>
        <v>0.44</v>
      </c>
      <c r="L7" s="86">
        <f t="shared" si="0"/>
        <v>0.44</v>
      </c>
      <c r="M7" s="86">
        <f t="shared" si="0"/>
        <v>0.44</v>
      </c>
      <c r="N7" s="86">
        <f t="shared" si="0"/>
        <v>0.44</v>
      </c>
      <c r="O7" s="86">
        <f t="shared" si="0"/>
        <v>0.44</v>
      </c>
      <c r="P7" s="86">
        <f t="shared" si="0"/>
        <v>0.44</v>
      </c>
      <c r="Q7" s="86">
        <f t="shared" si="0"/>
        <v>0.44</v>
      </c>
    </row>
    <row r="8" spans="1:17" ht="24" customHeight="1" x14ac:dyDescent="0.25"/>
    <row r="11" spans="1:17" x14ac:dyDescent="0.25">
      <c r="H11" s="96"/>
    </row>
  </sheetData>
  <autoFilter ref="A3:Q3" xr:uid="{00000000-0001-0000-2700-000000000000}">
    <sortState xmlns:xlrd2="http://schemas.microsoft.com/office/spreadsheetml/2017/richdata2" ref="A4:Q7">
      <sortCondition ref="D3"/>
    </sortState>
  </autoFilter>
  <mergeCells count="1">
    <mergeCell ref="A1:G1"/>
  </mergeCells>
  <pageMargins left="0.7" right="0.7" top="0.75" bottom="0.75" header="0.3" footer="0.3"/>
  <pageSetup paperSize="5" scale="63" fitToHeight="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B85A-B3A2-4C38-AC4E-E6683A4D2E9B}">
  <sheetPr>
    <tabColor rgb="FFFF0000"/>
    <pageSetUpPr fitToPage="1"/>
  </sheetPr>
  <dimension ref="A1:Q60"/>
  <sheetViews>
    <sheetView view="pageBreakPreview" zoomScale="85" zoomScaleNormal="100" zoomScaleSheetLayoutView="85" workbookViewId="0">
      <pane xSplit="1" ySplit="2" topLeftCell="B52" activePane="bottomRight" state="frozen"/>
      <selection pane="topRight" activeCell="B1" sqref="B1"/>
      <selection pane="bottomLeft" activeCell="A3" sqref="A3"/>
      <selection pane="bottomRight" sqref="A1:G1"/>
    </sheetView>
  </sheetViews>
  <sheetFormatPr defaultColWidth="9.140625" defaultRowHeight="15" x14ac:dyDescent="0.25"/>
  <cols>
    <col min="1" max="1" width="10.85546875" style="27" customWidth="1"/>
    <col min="2" max="2" width="20.42578125" style="27" customWidth="1"/>
    <col min="3" max="3" width="9" style="27" customWidth="1"/>
    <col min="4" max="4" width="29.42578125" style="28" customWidth="1"/>
    <col min="5" max="5" width="26" style="28" customWidth="1"/>
    <col min="6" max="6" width="28.28515625" style="23" customWidth="1"/>
    <col min="7" max="7" width="12.85546875" style="30" customWidth="1"/>
    <col min="8" max="17" width="12.85546875" style="22" customWidth="1"/>
    <col min="18" max="16384" width="9.140625" style="23"/>
  </cols>
  <sheetData>
    <row r="1" spans="1:17" ht="24" customHeight="1" x14ac:dyDescent="0.25">
      <c r="A1" s="338" t="s">
        <v>896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55.5" customHeight="1" x14ac:dyDescent="0.25">
      <c r="A2" s="36" t="s">
        <v>705</v>
      </c>
      <c r="B2" s="36" t="s">
        <v>18</v>
      </c>
      <c r="C2" s="36" t="s">
        <v>17</v>
      </c>
      <c r="D2" s="36" t="s">
        <v>486</v>
      </c>
      <c r="E2" s="36" t="s">
        <v>506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</row>
    <row r="3" spans="1:17" s="21" customFormat="1" x14ac:dyDescent="0.25">
      <c r="A3" s="36"/>
      <c r="B3" s="36"/>
      <c r="C3" s="36"/>
      <c r="D3" s="36"/>
      <c r="E3" s="36"/>
      <c r="F3" s="36"/>
      <c r="G3" s="38"/>
      <c r="H3" s="29"/>
      <c r="I3" s="25"/>
      <c r="J3" s="25"/>
      <c r="K3" s="25"/>
      <c r="L3" s="25"/>
      <c r="M3" s="25"/>
      <c r="N3" s="25"/>
      <c r="O3" s="25"/>
      <c r="P3" s="25"/>
      <c r="Q3" s="25"/>
    </row>
    <row r="4" spans="1:17" ht="38.25" customHeight="1" x14ac:dyDescent="0.25">
      <c r="A4" s="7" t="s">
        <v>782</v>
      </c>
      <c r="B4" s="7" t="s">
        <v>785</v>
      </c>
      <c r="C4" s="7">
        <v>137</v>
      </c>
      <c r="D4" s="11" t="s">
        <v>470</v>
      </c>
      <c r="E4" s="11" t="s">
        <v>471</v>
      </c>
      <c r="F4" s="11" t="s">
        <v>195</v>
      </c>
      <c r="G4" s="231">
        <f t="shared" ref="G4:G42" si="0">SUM(H4:Q4)</f>
        <v>6</v>
      </c>
      <c r="H4" s="3"/>
      <c r="I4" s="3">
        <v>1.8</v>
      </c>
      <c r="J4" s="3">
        <v>1.8</v>
      </c>
      <c r="K4" s="3">
        <v>0.6</v>
      </c>
      <c r="L4" s="3">
        <v>0.6</v>
      </c>
      <c r="M4" s="3"/>
      <c r="N4" s="3">
        <v>1.2</v>
      </c>
      <c r="O4" s="3"/>
      <c r="P4" s="3"/>
      <c r="Q4" s="3"/>
    </row>
    <row r="5" spans="1:17" ht="38.25" customHeight="1" x14ac:dyDescent="0.25">
      <c r="A5" s="7" t="s">
        <v>782</v>
      </c>
      <c r="B5" s="7" t="s">
        <v>785</v>
      </c>
      <c r="C5" s="7">
        <v>137</v>
      </c>
      <c r="D5" s="11" t="s">
        <v>470</v>
      </c>
      <c r="E5" s="11" t="s">
        <v>471</v>
      </c>
      <c r="F5" s="11" t="s">
        <v>874</v>
      </c>
      <c r="G5" s="231">
        <f t="shared" si="0"/>
        <v>2.4</v>
      </c>
      <c r="H5" s="3"/>
      <c r="I5" s="3"/>
      <c r="J5" s="3"/>
      <c r="K5" s="3"/>
      <c r="L5" s="3">
        <v>2.4</v>
      </c>
      <c r="M5" s="3"/>
      <c r="N5" s="3"/>
      <c r="O5" s="3"/>
      <c r="P5" s="3"/>
      <c r="Q5" s="3"/>
    </row>
    <row r="6" spans="1:17" ht="38.25" customHeight="1" x14ac:dyDescent="0.25">
      <c r="A6" s="7" t="s">
        <v>780</v>
      </c>
      <c r="B6" s="7" t="s">
        <v>639</v>
      </c>
      <c r="C6" s="7">
        <v>134</v>
      </c>
      <c r="D6" s="11" t="s">
        <v>472</v>
      </c>
      <c r="E6" s="11" t="s">
        <v>471</v>
      </c>
      <c r="F6" s="10" t="s">
        <v>196</v>
      </c>
      <c r="G6" s="231">
        <f t="shared" si="0"/>
        <v>4.1399999999999997</v>
      </c>
      <c r="H6" s="3"/>
      <c r="I6" s="3">
        <v>1.44</v>
      </c>
      <c r="J6" s="3">
        <v>1.26</v>
      </c>
      <c r="K6" s="3">
        <v>0.36</v>
      </c>
      <c r="L6" s="3">
        <v>0.36</v>
      </c>
      <c r="M6" s="3"/>
      <c r="N6" s="3">
        <v>0.72</v>
      </c>
      <c r="O6" s="3"/>
      <c r="P6" s="3"/>
      <c r="Q6" s="3"/>
    </row>
    <row r="7" spans="1:17" ht="38.25" customHeight="1" x14ac:dyDescent="0.25">
      <c r="A7" s="7" t="s">
        <v>780</v>
      </c>
      <c r="B7" s="7" t="s">
        <v>639</v>
      </c>
      <c r="C7" s="7">
        <v>134</v>
      </c>
      <c r="D7" s="11" t="s">
        <v>472</v>
      </c>
      <c r="E7" s="11" t="s">
        <v>471</v>
      </c>
      <c r="F7" s="10" t="s">
        <v>197</v>
      </c>
      <c r="G7" s="231">
        <f t="shared" si="0"/>
        <v>8.9200000000000017</v>
      </c>
      <c r="H7" s="3"/>
      <c r="I7" s="3">
        <v>2.92</v>
      </c>
      <c r="J7" s="3">
        <v>2.4</v>
      </c>
      <c r="K7" s="3">
        <v>1.06</v>
      </c>
      <c r="L7" s="3">
        <v>0.96</v>
      </c>
      <c r="M7" s="3"/>
      <c r="N7" s="3">
        <v>1.58</v>
      </c>
      <c r="O7" s="3"/>
      <c r="P7" s="3"/>
      <c r="Q7" s="3"/>
    </row>
    <row r="8" spans="1:17" ht="38.25" customHeight="1" x14ac:dyDescent="0.25">
      <c r="A8" s="7" t="s">
        <v>780</v>
      </c>
      <c r="B8" s="7" t="s">
        <v>639</v>
      </c>
      <c r="C8" s="7">
        <v>134</v>
      </c>
      <c r="D8" s="11" t="s">
        <v>472</v>
      </c>
      <c r="E8" s="11" t="s">
        <v>471</v>
      </c>
      <c r="F8" s="10" t="s">
        <v>198</v>
      </c>
      <c r="G8" s="231">
        <f t="shared" si="0"/>
        <v>8</v>
      </c>
      <c r="H8" s="3"/>
      <c r="I8" s="3">
        <v>3</v>
      </c>
      <c r="J8" s="3">
        <v>2.4</v>
      </c>
      <c r="K8" s="3">
        <v>0.5</v>
      </c>
      <c r="L8" s="3">
        <v>0.5</v>
      </c>
      <c r="M8" s="3"/>
      <c r="N8" s="3">
        <v>1.6</v>
      </c>
      <c r="O8" s="3"/>
      <c r="P8" s="3"/>
      <c r="Q8" s="3"/>
    </row>
    <row r="9" spans="1:17" ht="38.25" customHeight="1" x14ac:dyDescent="0.25">
      <c r="A9" s="7" t="s">
        <v>780</v>
      </c>
      <c r="B9" s="7" t="s">
        <v>639</v>
      </c>
      <c r="C9" s="7">
        <v>134</v>
      </c>
      <c r="D9" s="11" t="s">
        <v>472</v>
      </c>
      <c r="E9" s="11" t="s">
        <v>471</v>
      </c>
      <c r="F9" s="10" t="s">
        <v>199</v>
      </c>
      <c r="G9" s="231">
        <f t="shared" si="0"/>
        <v>2.5299999999999998</v>
      </c>
      <c r="H9" s="3">
        <v>2.5299999999999998</v>
      </c>
      <c r="I9" s="3"/>
      <c r="J9" s="3"/>
      <c r="K9" s="3"/>
      <c r="L9" s="3"/>
      <c r="M9" s="3"/>
      <c r="N9" s="3"/>
      <c r="O9" s="3"/>
      <c r="P9" s="3"/>
      <c r="Q9" s="3"/>
    </row>
    <row r="10" spans="1:17" ht="38.25" customHeight="1" x14ac:dyDescent="0.25">
      <c r="A10" s="7" t="s">
        <v>780</v>
      </c>
      <c r="B10" s="7" t="s">
        <v>639</v>
      </c>
      <c r="C10" s="7">
        <v>130</v>
      </c>
      <c r="D10" s="11" t="s">
        <v>669</v>
      </c>
      <c r="E10" s="11" t="s">
        <v>200</v>
      </c>
      <c r="F10" s="10" t="s">
        <v>200</v>
      </c>
      <c r="G10" s="231">
        <f t="shared" si="0"/>
        <v>22.320000000000004</v>
      </c>
      <c r="H10" s="3"/>
      <c r="I10" s="3">
        <v>9.6</v>
      </c>
      <c r="J10" s="3">
        <v>5.76</v>
      </c>
      <c r="K10" s="3">
        <v>1.92</v>
      </c>
      <c r="L10" s="3">
        <v>1.44</v>
      </c>
      <c r="M10" s="3"/>
      <c r="N10" s="3">
        <v>3.6</v>
      </c>
      <c r="O10" s="3"/>
      <c r="P10" s="3"/>
      <c r="Q10" s="3"/>
    </row>
    <row r="11" spans="1:17" ht="38.25" customHeight="1" x14ac:dyDescent="0.25">
      <c r="A11" s="7" t="s">
        <v>780</v>
      </c>
      <c r="B11" s="7" t="s">
        <v>639</v>
      </c>
      <c r="C11" s="7">
        <v>130</v>
      </c>
      <c r="D11" s="11" t="s">
        <v>669</v>
      </c>
      <c r="E11" s="11" t="s">
        <v>473</v>
      </c>
      <c r="F11" s="10" t="s">
        <v>201</v>
      </c>
      <c r="G11" s="231">
        <f t="shared" si="0"/>
        <v>3.25</v>
      </c>
      <c r="H11" s="3">
        <v>3.25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ht="38.25" customHeight="1" x14ac:dyDescent="0.25">
      <c r="A12" s="7" t="s">
        <v>780</v>
      </c>
      <c r="B12" s="7" t="s">
        <v>639</v>
      </c>
      <c r="C12" s="7">
        <v>131</v>
      </c>
      <c r="D12" s="11" t="s">
        <v>474</v>
      </c>
      <c r="E12" s="11" t="s">
        <v>473</v>
      </c>
      <c r="F12" s="10" t="s">
        <v>202</v>
      </c>
      <c r="G12" s="231">
        <f t="shared" si="0"/>
        <v>3.7</v>
      </c>
      <c r="H12" s="3">
        <v>3.7</v>
      </c>
      <c r="I12" s="3"/>
      <c r="J12" s="3"/>
      <c r="K12" s="3"/>
      <c r="L12" s="3"/>
      <c r="M12" s="3"/>
      <c r="N12" s="3"/>
      <c r="O12" s="3"/>
      <c r="P12" s="3"/>
      <c r="Q12" s="3"/>
    </row>
    <row r="13" spans="1:17" ht="38.25" customHeight="1" x14ac:dyDescent="0.25">
      <c r="A13" s="7" t="s">
        <v>788</v>
      </c>
      <c r="B13" s="7" t="s">
        <v>767</v>
      </c>
      <c r="C13" s="7">
        <v>149</v>
      </c>
      <c r="D13" s="11" t="s">
        <v>475</v>
      </c>
      <c r="E13" s="11" t="s">
        <v>475</v>
      </c>
      <c r="F13" s="10" t="s">
        <v>203</v>
      </c>
      <c r="G13" s="231">
        <f t="shared" si="0"/>
        <v>14</v>
      </c>
      <c r="H13" s="3"/>
      <c r="I13" s="3">
        <v>5.25</v>
      </c>
      <c r="J13" s="3">
        <v>5.25</v>
      </c>
      <c r="K13" s="3"/>
      <c r="L13" s="3"/>
      <c r="M13" s="3"/>
      <c r="N13" s="3">
        <v>3.5</v>
      </c>
      <c r="O13" s="3"/>
      <c r="P13" s="3"/>
      <c r="Q13" s="3"/>
    </row>
    <row r="14" spans="1:17" ht="38.25" customHeight="1" x14ac:dyDescent="0.25">
      <c r="A14" s="7" t="s">
        <v>788</v>
      </c>
      <c r="B14" s="7" t="s">
        <v>767</v>
      </c>
      <c r="C14" s="7">
        <v>149</v>
      </c>
      <c r="D14" s="11" t="s">
        <v>475</v>
      </c>
      <c r="E14" s="11" t="s">
        <v>475</v>
      </c>
      <c r="F14" s="10" t="s">
        <v>204</v>
      </c>
      <c r="G14" s="231">
        <f t="shared" si="0"/>
        <v>2</v>
      </c>
      <c r="H14" s="3"/>
      <c r="I14" s="3"/>
      <c r="J14" s="3"/>
      <c r="K14" s="3">
        <v>1</v>
      </c>
      <c r="L14" s="3">
        <v>1</v>
      </c>
      <c r="M14" s="3"/>
      <c r="N14" s="3"/>
      <c r="O14" s="3"/>
      <c r="P14" s="3"/>
      <c r="Q14" s="3"/>
    </row>
    <row r="15" spans="1:17" ht="38.25" customHeight="1" x14ac:dyDescent="0.25">
      <c r="A15" s="7" t="s">
        <v>897</v>
      </c>
      <c r="B15" s="7" t="s">
        <v>785</v>
      </c>
      <c r="C15" s="7">
        <v>137</v>
      </c>
      <c r="D15" s="11" t="s">
        <v>470</v>
      </c>
      <c r="E15" s="11" t="s">
        <v>898</v>
      </c>
      <c r="F15" s="10" t="s">
        <v>899</v>
      </c>
      <c r="G15" s="231">
        <f t="shared" si="0"/>
        <v>176.92</v>
      </c>
      <c r="H15" s="3">
        <v>176.92</v>
      </c>
      <c r="I15" s="3"/>
      <c r="J15" s="3"/>
      <c r="K15" s="3"/>
      <c r="L15" s="3"/>
      <c r="M15" s="3"/>
      <c r="N15" s="3"/>
      <c r="O15" s="3"/>
      <c r="P15" s="3"/>
      <c r="Q15" s="3"/>
    </row>
    <row r="16" spans="1:17" ht="38.25" customHeight="1" x14ac:dyDescent="0.25">
      <c r="A16" s="7" t="s">
        <v>788</v>
      </c>
      <c r="B16" s="7" t="s">
        <v>767</v>
      </c>
      <c r="C16" s="7">
        <v>149</v>
      </c>
      <c r="D16" s="11" t="s">
        <v>475</v>
      </c>
      <c r="E16" s="11" t="s">
        <v>475</v>
      </c>
      <c r="F16" s="10" t="s">
        <v>205</v>
      </c>
      <c r="G16" s="231">
        <f t="shared" si="0"/>
        <v>4.6500000000000004</v>
      </c>
      <c r="H16" s="3"/>
      <c r="I16" s="3">
        <v>2</v>
      </c>
      <c r="J16" s="3">
        <v>1.2</v>
      </c>
      <c r="K16" s="3">
        <v>0.4</v>
      </c>
      <c r="L16" s="3">
        <v>0.3</v>
      </c>
      <c r="M16" s="3"/>
      <c r="N16" s="3">
        <v>0.75</v>
      </c>
      <c r="O16" s="3"/>
      <c r="P16" s="3"/>
      <c r="Q16" s="3"/>
    </row>
    <row r="17" spans="1:17" ht="38.25" customHeight="1" x14ac:dyDescent="0.25">
      <c r="A17" s="7" t="s">
        <v>781</v>
      </c>
      <c r="B17" s="7" t="s">
        <v>761</v>
      </c>
      <c r="C17" s="7">
        <v>142</v>
      </c>
      <c r="D17" s="11" t="s">
        <v>476</v>
      </c>
      <c r="E17" s="11" t="s">
        <v>476</v>
      </c>
      <c r="F17" s="10" t="s">
        <v>206</v>
      </c>
      <c r="G17" s="231">
        <f t="shared" si="0"/>
        <v>51.3</v>
      </c>
      <c r="H17" s="3"/>
      <c r="I17" s="3">
        <v>18.350000000000001</v>
      </c>
      <c r="J17" s="3">
        <v>15.71</v>
      </c>
      <c r="K17" s="3">
        <v>4.01</v>
      </c>
      <c r="L17" s="3">
        <v>3.47</v>
      </c>
      <c r="M17" s="3"/>
      <c r="N17" s="3">
        <v>9.76</v>
      </c>
      <c r="O17" s="3"/>
      <c r="P17" s="3"/>
      <c r="Q17" s="3"/>
    </row>
    <row r="18" spans="1:17" ht="38.25" customHeight="1" x14ac:dyDescent="0.25">
      <c r="A18" s="7" t="s">
        <v>781</v>
      </c>
      <c r="B18" s="7" t="s">
        <v>761</v>
      </c>
      <c r="C18" s="7">
        <v>142</v>
      </c>
      <c r="D18" s="11" t="s">
        <v>476</v>
      </c>
      <c r="E18" s="11" t="s">
        <v>476</v>
      </c>
      <c r="F18" s="10" t="s">
        <v>207</v>
      </c>
      <c r="G18" s="231">
        <f t="shared" si="0"/>
        <v>94.13</v>
      </c>
      <c r="H18" s="3"/>
      <c r="I18" s="3">
        <v>32.6</v>
      </c>
      <c r="J18" s="3">
        <v>28.5</v>
      </c>
      <c r="K18" s="3">
        <v>7.8</v>
      </c>
      <c r="L18" s="3">
        <v>7.1</v>
      </c>
      <c r="M18" s="3"/>
      <c r="N18" s="3">
        <v>18.13</v>
      </c>
      <c r="O18" s="3"/>
      <c r="P18" s="3"/>
      <c r="Q18" s="3"/>
    </row>
    <row r="19" spans="1:17" ht="38.25" customHeight="1" x14ac:dyDescent="0.25">
      <c r="A19" s="7" t="s">
        <v>781</v>
      </c>
      <c r="B19" s="7" t="s">
        <v>761</v>
      </c>
      <c r="C19" s="7">
        <v>142</v>
      </c>
      <c r="D19" s="11" t="s">
        <v>476</v>
      </c>
      <c r="E19" s="11" t="s">
        <v>476</v>
      </c>
      <c r="F19" s="10" t="s">
        <v>208</v>
      </c>
      <c r="G19" s="231">
        <f t="shared" si="0"/>
        <v>35.200000000000003</v>
      </c>
      <c r="H19" s="3"/>
      <c r="I19" s="3">
        <v>11.9</v>
      </c>
      <c r="J19" s="3">
        <v>12.7</v>
      </c>
      <c r="K19" s="3">
        <v>2.5</v>
      </c>
      <c r="L19" s="3">
        <v>2.2000000000000002</v>
      </c>
      <c r="M19" s="3"/>
      <c r="N19" s="3">
        <v>5.9</v>
      </c>
      <c r="O19" s="3"/>
      <c r="P19" s="3"/>
      <c r="Q19" s="3"/>
    </row>
    <row r="20" spans="1:17" ht="38.25" customHeight="1" x14ac:dyDescent="0.25">
      <c r="A20" s="7" t="s">
        <v>781</v>
      </c>
      <c r="B20" s="7" t="s">
        <v>761</v>
      </c>
      <c r="C20" s="7">
        <v>142</v>
      </c>
      <c r="D20" s="11" t="s">
        <v>476</v>
      </c>
      <c r="E20" s="11" t="s">
        <v>476</v>
      </c>
      <c r="F20" s="10" t="s">
        <v>209</v>
      </c>
      <c r="G20" s="231">
        <f t="shared" si="0"/>
        <v>30.37</v>
      </c>
      <c r="H20" s="3"/>
      <c r="I20" s="3">
        <v>9.6999999999999993</v>
      </c>
      <c r="J20" s="3">
        <v>9.83</v>
      </c>
      <c r="K20" s="3">
        <v>2.75</v>
      </c>
      <c r="L20" s="3">
        <v>2.4</v>
      </c>
      <c r="M20" s="3"/>
      <c r="N20" s="3">
        <v>5.69</v>
      </c>
      <c r="O20" s="3"/>
      <c r="P20" s="3"/>
      <c r="Q20" s="3"/>
    </row>
    <row r="21" spans="1:17" ht="38.25" customHeight="1" x14ac:dyDescent="0.25">
      <c r="A21" s="7" t="s">
        <v>781</v>
      </c>
      <c r="B21" s="7" t="s">
        <v>761</v>
      </c>
      <c r="C21" s="7">
        <v>142</v>
      </c>
      <c r="D21" s="11" t="s">
        <v>476</v>
      </c>
      <c r="E21" s="11" t="s">
        <v>476</v>
      </c>
      <c r="F21" s="10" t="s">
        <v>210</v>
      </c>
      <c r="G21" s="231">
        <f t="shared" si="0"/>
        <v>70.429999999999993</v>
      </c>
      <c r="H21" s="3"/>
      <c r="I21" s="3">
        <f>18.91+0.16</f>
        <v>19.07</v>
      </c>
      <c r="J21" s="3">
        <f>22.15+0.16</f>
        <v>22.31</v>
      </c>
      <c r="K21" s="3">
        <f>7.97+0.16</f>
        <v>8.129999999999999</v>
      </c>
      <c r="L21" s="3">
        <f>6+0.16</f>
        <v>6.16</v>
      </c>
      <c r="M21" s="3"/>
      <c r="N21" s="3">
        <f>14.6+0.16</f>
        <v>14.76</v>
      </c>
      <c r="O21" s="3"/>
      <c r="P21" s="3"/>
      <c r="Q21" s="3"/>
    </row>
    <row r="22" spans="1:17" ht="38.25" customHeight="1" x14ac:dyDescent="0.25">
      <c r="A22" s="7" t="s">
        <v>781</v>
      </c>
      <c r="B22" s="7" t="s">
        <v>761</v>
      </c>
      <c r="C22" s="7">
        <v>142</v>
      </c>
      <c r="D22" s="11" t="s">
        <v>476</v>
      </c>
      <c r="E22" s="11" t="s">
        <v>476</v>
      </c>
      <c r="F22" s="10" t="s">
        <v>211</v>
      </c>
      <c r="G22" s="231">
        <f t="shared" si="0"/>
        <v>18.799999999999997</v>
      </c>
      <c r="H22" s="3"/>
      <c r="I22" s="3">
        <v>6.2</v>
      </c>
      <c r="J22" s="3">
        <v>7.5</v>
      </c>
      <c r="K22" s="3"/>
      <c r="L22" s="3"/>
      <c r="M22" s="3"/>
      <c r="N22" s="3">
        <v>5.0999999999999996</v>
      </c>
      <c r="O22" s="3"/>
      <c r="P22" s="3"/>
      <c r="Q22" s="3"/>
    </row>
    <row r="23" spans="1:17" ht="38.25" customHeight="1" x14ac:dyDescent="0.25">
      <c r="A23" s="7" t="s">
        <v>781</v>
      </c>
      <c r="B23" s="7" t="s">
        <v>761</v>
      </c>
      <c r="C23" s="7">
        <v>142</v>
      </c>
      <c r="D23" s="11" t="s">
        <v>476</v>
      </c>
      <c r="E23" s="11" t="s">
        <v>476</v>
      </c>
      <c r="F23" s="10" t="s">
        <v>212</v>
      </c>
      <c r="G23" s="231">
        <f t="shared" si="0"/>
        <v>34.68</v>
      </c>
      <c r="H23" s="3"/>
      <c r="I23" s="3">
        <v>10.11</v>
      </c>
      <c r="J23" s="3">
        <v>12.22</v>
      </c>
      <c r="K23" s="3">
        <v>2.78</v>
      </c>
      <c r="L23" s="3">
        <v>2.52</v>
      </c>
      <c r="M23" s="3"/>
      <c r="N23" s="3">
        <v>7.05</v>
      </c>
      <c r="O23" s="3"/>
      <c r="P23" s="3"/>
      <c r="Q23" s="3"/>
    </row>
    <row r="24" spans="1:17" ht="38.25" customHeight="1" x14ac:dyDescent="0.25">
      <c r="A24" s="7" t="s">
        <v>781</v>
      </c>
      <c r="B24" s="7" t="s">
        <v>761</v>
      </c>
      <c r="C24" s="7">
        <v>142</v>
      </c>
      <c r="D24" s="11" t="s">
        <v>476</v>
      </c>
      <c r="E24" s="11" t="s">
        <v>476</v>
      </c>
      <c r="F24" s="10" t="s">
        <v>213</v>
      </c>
      <c r="G24" s="231">
        <f t="shared" si="0"/>
        <v>21.67</v>
      </c>
      <c r="H24" s="3"/>
      <c r="I24" s="3">
        <v>6.8</v>
      </c>
      <c r="J24" s="3">
        <v>6.9</v>
      </c>
      <c r="K24" s="3">
        <v>1.98</v>
      </c>
      <c r="L24" s="3">
        <v>1.71</v>
      </c>
      <c r="M24" s="3"/>
      <c r="N24" s="3">
        <v>4.28</v>
      </c>
      <c r="O24" s="3"/>
      <c r="P24" s="3"/>
      <c r="Q24" s="3"/>
    </row>
    <row r="25" spans="1:17" ht="38.25" customHeight="1" x14ac:dyDescent="0.25">
      <c r="A25" s="7" t="s">
        <v>781</v>
      </c>
      <c r="B25" s="7" t="s">
        <v>761</v>
      </c>
      <c r="C25" s="7">
        <v>142</v>
      </c>
      <c r="D25" s="11" t="s">
        <v>476</v>
      </c>
      <c r="E25" s="11" t="s">
        <v>476</v>
      </c>
      <c r="F25" s="10" t="s">
        <v>972</v>
      </c>
      <c r="G25" s="231">
        <f t="shared" si="0"/>
        <v>102</v>
      </c>
      <c r="H25" s="3">
        <v>102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38.25" customHeight="1" x14ac:dyDescent="0.25">
      <c r="A26" s="7" t="s">
        <v>781</v>
      </c>
      <c r="B26" s="7" t="s">
        <v>761</v>
      </c>
      <c r="C26" s="7">
        <v>142</v>
      </c>
      <c r="D26" s="11" t="s">
        <v>476</v>
      </c>
      <c r="E26" s="11" t="s">
        <v>476</v>
      </c>
      <c r="F26" s="10" t="s">
        <v>973</v>
      </c>
      <c r="G26" s="231">
        <f t="shared" si="0"/>
        <v>40.479999999999997</v>
      </c>
      <c r="H26" s="3">
        <v>40.479999999999997</v>
      </c>
      <c r="I26" s="3"/>
      <c r="J26" s="3"/>
      <c r="K26" s="3"/>
      <c r="L26" s="3"/>
      <c r="M26" s="3"/>
      <c r="N26" s="3"/>
      <c r="O26" s="3"/>
      <c r="P26" s="3"/>
      <c r="Q26" s="3"/>
    </row>
    <row r="27" spans="1:17" ht="38.25" customHeight="1" x14ac:dyDescent="0.25">
      <c r="A27" s="7" t="s">
        <v>781</v>
      </c>
      <c r="B27" s="7" t="s">
        <v>761</v>
      </c>
      <c r="C27" s="7">
        <v>142</v>
      </c>
      <c r="D27" s="11" t="s">
        <v>476</v>
      </c>
      <c r="E27" s="11" t="s">
        <v>476</v>
      </c>
      <c r="F27" s="10" t="s">
        <v>974</v>
      </c>
      <c r="G27" s="231">
        <f t="shared" si="0"/>
        <v>14.28</v>
      </c>
      <c r="H27" s="3">
        <v>14.28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38.25" customHeight="1" x14ac:dyDescent="0.25">
      <c r="A28" s="7" t="s">
        <v>782</v>
      </c>
      <c r="B28" s="7" t="s">
        <v>785</v>
      </c>
      <c r="C28" s="7">
        <v>137</v>
      </c>
      <c r="D28" s="11" t="s">
        <v>911</v>
      </c>
      <c r="E28" s="11" t="s">
        <v>471</v>
      </c>
      <c r="F28" s="10" t="s">
        <v>214</v>
      </c>
      <c r="G28" s="231">
        <f t="shared" si="0"/>
        <v>27</v>
      </c>
      <c r="H28" s="173"/>
      <c r="I28" s="3">
        <v>9</v>
      </c>
      <c r="J28" s="3">
        <v>9</v>
      </c>
      <c r="K28" s="3">
        <v>3</v>
      </c>
      <c r="L28" s="3"/>
      <c r="M28" s="3"/>
      <c r="N28" s="3">
        <v>6</v>
      </c>
      <c r="O28" s="3"/>
      <c r="P28" s="3"/>
      <c r="Q28" s="3"/>
    </row>
    <row r="29" spans="1:17" ht="38.25" customHeight="1" x14ac:dyDescent="0.25">
      <c r="A29" s="7" t="s">
        <v>782</v>
      </c>
      <c r="B29" s="7" t="s">
        <v>785</v>
      </c>
      <c r="C29" s="7">
        <v>137</v>
      </c>
      <c r="D29" s="11" t="s">
        <v>470</v>
      </c>
      <c r="E29" s="11" t="s">
        <v>473</v>
      </c>
      <c r="F29" s="10" t="s">
        <v>215</v>
      </c>
      <c r="G29" s="231">
        <f t="shared" si="0"/>
        <v>1.29</v>
      </c>
      <c r="H29" s="3">
        <v>1.29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ht="38.25" customHeight="1" x14ac:dyDescent="0.25">
      <c r="A30" s="7" t="s">
        <v>780</v>
      </c>
      <c r="B30" s="7" t="s">
        <v>639</v>
      </c>
      <c r="C30" s="7">
        <v>133</v>
      </c>
      <c r="D30" s="11" t="s">
        <v>477</v>
      </c>
      <c r="E30" s="11" t="s">
        <v>473</v>
      </c>
      <c r="F30" s="10" t="s">
        <v>216</v>
      </c>
      <c r="G30" s="231">
        <f t="shared" si="0"/>
        <v>0.56000000000000005</v>
      </c>
      <c r="H30" s="3">
        <v>0.56000000000000005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ht="38.25" customHeight="1" x14ac:dyDescent="0.25">
      <c r="A31" s="7" t="s">
        <v>783</v>
      </c>
      <c r="B31" s="7" t="s">
        <v>27</v>
      </c>
      <c r="C31" s="7">
        <v>139</v>
      </c>
      <c r="D31" s="11" t="s">
        <v>478</v>
      </c>
      <c r="E31" s="11" t="s">
        <v>473</v>
      </c>
      <c r="F31" s="10" t="s">
        <v>217</v>
      </c>
      <c r="G31" s="231">
        <f t="shared" si="0"/>
        <v>0.78</v>
      </c>
      <c r="H31" s="3">
        <v>0.78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ht="38.25" customHeight="1" x14ac:dyDescent="0.25">
      <c r="A32" s="7" t="s">
        <v>782</v>
      </c>
      <c r="B32" s="7" t="s">
        <v>785</v>
      </c>
      <c r="C32" s="7">
        <v>137</v>
      </c>
      <c r="D32" s="11" t="s">
        <v>470</v>
      </c>
      <c r="E32" s="11" t="s">
        <v>473</v>
      </c>
      <c r="F32" s="10" t="s">
        <v>218</v>
      </c>
      <c r="G32" s="231">
        <f t="shared" si="0"/>
        <v>3.1</v>
      </c>
      <c r="H32" s="3">
        <v>3.1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ht="45" x14ac:dyDescent="0.25">
      <c r="A33" s="7" t="s">
        <v>784</v>
      </c>
      <c r="B33" s="7" t="s">
        <v>27</v>
      </c>
      <c r="C33" s="7">
        <v>140</v>
      </c>
      <c r="D33" s="11" t="s">
        <v>479</v>
      </c>
      <c r="E33" s="11" t="s">
        <v>471</v>
      </c>
      <c r="F33" s="10" t="s">
        <v>219</v>
      </c>
      <c r="G33" s="231">
        <f t="shared" si="0"/>
        <v>0.43999999999999995</v>
      </c>
      <c r="H33" s="3"/>
      <c r="I33" s="3">
        <v>0.13</v>
      </c>
      <c r="J33" s="3">
        <v>0.13</v>
      </c>
      <c r="K33" s="3">
        <v>0.04</v>
      </c>
      <c r="L33" s="3">
        <v>0.04</v>
      </c>
      <c r="M33" s="3"/>
      <c r="N33" s="3">
        <v>0.1</v>
      </c>
      <c r="O33" s="3"/>
      <c r="P33" s="3"/>
      <c r="Q33" s="3"/>
    </row>
    <row r="34" spans="1:17" ht="38.25" customHeight="1" x14ac:dyDescent="0.25">
      <c r="A34" s="7" t="s">
        <v>783</v>
      </c>
      <c r="B34" s="7" t="s">
        <v>27</v>
      </c>
      <c r="C34" s="7">
        <v>139</v>
      </c>
      <c r="D34" s="11" t="s">
        <v>478</v>
      </c>
      <c r="E34" s="11" t="s">
        <v>471</v>
      </c>
      <c r="F34" s="10" t="s">
        <v>220</v>
      </c>
      <c r="G34" s="231">
        <f t="shared" si="0"/>
        <v>2.56</v>
      </c>
      <c r="H34" s="3">
        <v>2.56</v>
      </c>
      <c r="I34" s="3"/>
      <c r="J34" s="3"/>
      <c r="K34" s="3"/>
      <c r="L34" s="3"/>
      <c r="M34" s="3"/>
      <c r="N34" s="3"/>
      <c r="O34" s="3"/>
      <c r="P34" s="3"/>
      <c r="Q34" s="3"/>
    </row>
    <row r="35" spans="1:17" ht="38.25" customHeight="1" x14ac:dyDescent="0.25">
      <c r="A35" s="7" t="s">
        <v>784</v>
      </c>
      <c r="B35" s="7" t="s">
        <v>27</v>
      </c>
      <c r="C35" s="7">
        <v>140</v>
      </c>
      <c r="D35" s="11" t="s">
        <v>479</v>
      </c>
      <c r="E35" s="11" t="s">
        <v>471</v>
      </c>
      <c r="F35" s="10" t="s">
        <v>221</v>
      </c>
      <c r="G35" s="231">
        <f t="shared" si="0"/>
        <v>4</v>
      </c>
      <c r="H35" s="3">
        <v>4</v>
      </c>
      <c r="I35" s="3"/>
      <c r="J35" s="3"/>
      <c r="K35" s="3"/>
      <c r="L35" s="3"/>
      <c r="M35" s="3"/>
      <c r="N35" s="3"/>
      <c r="O35" s="3"/>
      <c r="P35" s="3"/>
      <c r="Q35" s="3"/>
    </row>
    <row r="36" spans="1:17" ht="38.25" customHeight="1" x14ac:dyDescent="0.25">
      <c r="A36" s="7" t="s">
        <v>784</v>
      </c>
      <c r="B36" s="7" t="s">
        <v>27</v>
      </c>
      <c r="C36" s="7">
        <v>140</v>
      </c>
      <c r="D36" s="11" t="s">
        <v>479</v>
      </c>
      <c r="E36" s="11" t="s">
        <v>471</v>
      </c>
      <c r="F36" s="10" t="s">
        <v>222</v>
      </c>
      <c r="G36" s="231">
        <f t="shared" si="0"/>
        <v>1.48</v>
      </c>
      <c r="H36" s="3">
        <v>0.78</v>
      </c>
      <c r="I36" s="3">
        <v>0.21</v>
      </c>
      <c r="J36" s="3">
        <v>0.21</v>
      </c>
      <c r="K36" s="3">
        <v>7.0000000000000007E-2</v>
      </c>
      <c r="L36" s="3">
        <v>7.0000000000000007E-2</v>
      </c>
      <c r="M36" s="3"/>
      <c r="N36" s="3">
        <v>0.14000000000000001</v>
      </c>
      <c r="O36" s="3"/>
      <c r="P36" s="3"/>
      <c r="Q36" s="3"/>
    </row>
    <row r="37" spans="1:17" ht="38.25" customHeight="1" x14ac:dyDescent="0.25">
      <c r="A37" s="7" t="s">
        <v>786</v>
      </c>
      <c r="B37" s="7" t="s">
        <v>724</v>
      </c>
      <c r="C37" s="7">
        <v>146</v>
      </c>
      <c r="D37" s="11" t="s">
        <v>480</v>
      </c>
      <c r="E37" s="11" t="s">
        <v>670</v>
      </c>
      <c r="F37" s="10" t="s">
        <v>223</v>
      </c>
      <c r="G37" s="231">
        <f t="shared" si="0"/>
        <v>5</v>
      </c>
      <c r="H37" s="3">
        <v>5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ht="38.25" customHeight="1" x14ac:dyDescent="0.25">
      <c r="A38" s="7" t="s">
        <v>786</v>
      </c>
      <c r="B38" s="7" t="s">
        <v>724</v>
      </c>
      <c r="C38" s="7">
        <v>146</v>
      </c>
      <c r="D38" s="11" t="s">
        <v>480</v>
      </c>
      <c r="E38" s="11" t="s">
        <v>670</v>
      </c>
      <c r="F38" s="10" t="s">
        <v>224</v>
      </c>
      <c r="G38" s="231">
        <f t="shared" si="0"/>
        <v>3</v>
      </c>
      <c r="H38" s="3">
        <v>3</v>
      </c>
      <c r="I38" s="3"/>
      <c r="J38" s="3"/>
      <c r="K38" s="3"/>
      <c r="L38" s="3"/>
      <c r="M38" s="3"/>
      <c r="N38" s="3"/>
      <c r="O38" s="3"/>
      <c r="P38" s="3"/>
      <c r="Q38" s="3"/>
    </row>
    <row r="39" spans="1:17" ht="38.25" customHeight="1" x14ac:dyDescent="0.25">
      <c r="A39" s="7" t="s">
        <v>786</v>
      </c>
      <c r="B39" s="7" t="s">
        <v>724</v>
      </c>
      <c r="C39" s="7">
        <v>146</v>
      </c>
      <c r="D39" s="11" t="s">
        <v>480</v>
      </c>
      <c r="E39" s="11" t="s">
        <v>670</v>
      </c>
      <c r="F39" s="10" t="s">
        <v>225</v>
      </c>
      <c r="G39" s="231">
        <f t="shared" si="0"/>
        <v>6</v>
      </c>
      <c r="H39" s="3">
        <v>6</v>
      </c>
      <c r="I39" s="3"/>
      <c r="J39" s="3"/>
      <c r="K39" s="3"/>
      <c r="L39" s="3"/>
      <c r="M39" s="3"/>
      <c r="N39" s="3"/>
      <c r="O39" s="3"/>
      <c r="P39" s="3"/>
      <c r="Q39" s="3"/>
    </row>
    <row r="40" spans="1:17" ht="38.25" customHeight="1" x14ac:dyDescent="0.25">
      <c r="A40" s="7" t="s">
        <v>786</v>
      </c>
      <c r="B40" s="7" t="s">
        <v>724</v>
      </c>
      <c r="C40" s="7">
        <v>146</v>
      </c>
      <c r="D40" s="11" t="s">
        <v>480</v>
      </c>
      <c r="E40" s="11" t="s">
        <v>670</v>
      </c>
      <c r="F40" s="10" t="s">
        <v>226</v>
      </c>
      <c r="G40" s="231">
        <f t="shared" si="0"/>
        <v>1</v>
      </c>
      <c r="H40" s="3"/>
      <c r="I40" s="3">
        <v>0.2</v>
      </c>
      <c r="J40" s="3">
        <v>0.2</v>
      </c>
      <c r="K40" s="3">
        <v>0.2</v>
      </c>
      <c r="L40" s="3">
        <v>0.2</v>
      </c>
      <c r="M40" s="3"/>
      <c r="N40" s="3">
        <v>0.2</v>
      </c>
      <c r="O40" s="3"/>
      <c r="P40" s="3"/>
      <c r="Q40" s="3"/>
    </row>
    <row r="41" spans="1:17" ht="38.25" customHeight="1" x14ac:dyDescent="0.25">
      <c r="A41" s="7" t="s">
        <v>781</v>
      </c>
      <c r="B41" s="7" t="s">
        <v>761</v>
      </c>
      <c r="C41" s="7">
        <v>142</v>
      </c>
      <c r="D41" s="11" t="s">
        <v>476</v>
      </c>
      <c r="E41" s="11" t="s">
        <v>476</v>
      </c>
      <c r="F41" s="10" t="s">
        <v>248</v>
      </c>
      <c r="G41" s="29">
        <f t="shared" si="0"/>
        <v>14.09</v>
      </c>
      <c r="H41" s="3">
        <v>14.09</v>
      </c>
      <c r="I41" s="3"/>
      <c r="J41" s="3"/>
      <c r="K41" s="3"/>
      <c r="L41" s="3"/>
      <c r="M41" s="3"/>
      <c r="N41" s="3"/>
      <c r="O41" s="3"/>
      <c r="P41" s="3"/>
      <c r="Q41" s="3"/>
    </row>
    <row r="42" spans="1:17" ht="38.25" customHeight="1" x14ac:dyDescent="0.25">
      <c r="A42" s="7" t="s">
        <v>787</v>
      </c>
      <c r="B42" s="7" t="s">
        <v>759</v>
      </c>
      <c r="C42" s="7">
        <v>148</v>
      </c>
      <c r="D42" s="11" t="s">
        <v>481</v>
      </c>
      <c r="E42" s="11" t="s">
        <v>671</v>
      </c>
      <c r="F42" s="10" t="s">
        <v>351</v>
      </c>
      <c r="G42" s="231">
        <f t="shared" si="0"/>
        <v>1.7999999999999998</v>
      </c>
      <c r="H42" s="3"/>
      <c r="I42" s="3">
        <v>0.6</v>
      </c>
      <c r="J42" s="3">
        <v>0.6</v>
      </c>
      <c r="K42" s="3">
        <v>0.2</v>
      </c>
      <c r="L42" s="3">
        <v>0.2</v>
      </c>
      <c r="M42" s="3"/>
      <c r="N42" s="3">
        <v>0.2</v>
      </c>
      <c r="O42" s="3"/>
      <c r="P42" s="3"/>
      <c r="Q42" s="3"/>
    </row>
    <row r="43" spans="1:17" s="32" customFormat="1" ht="30" customHeight="1" x14ac:dyDescent="0.25">
      <c r="A43" s="31"/>
      <c r="B43" s="31"/>
      <c r="C43" s="31"/>
      <c r="D43" s="31"/>
      <c r="E43" s="31"/>
      <c r="F43" s="14" t="s">
        <v>894</v>
      </c>
      <c r="G43" s="29">
        <f t="shared" ref="G43:Q43" si="1">SUM(G4:G42)</f>
        <v>844.26999999999975</v>
      </c>
      <c r="H43" s="29">
        <f t="shared" si="1"/>
        <v>384.31999999999994</v>
      </c>
      <c r="I43" s="29">
        <f t="shared" si="1"/>
        <v>150.88000000000002</v>
      </c>
      <c r="J43" s="29">
        <f t="shared" si="1"/>
        <v>145.88</v>
      </c>
      <c r="K43" s="29">
        <f t="shared" si="1"/>
        <v>39.299999999999997</v>
      </c>
      <c r="L43" s="29">
        <f t="shared" si="1"/>
        <v>33.630000000000003</v>
      </c>
      <c r="M43" s="29">
        <f t="shared" si="1"/>
        <v>0</v>
      </c>
      <c r="N43" s="29">
        <f t="shared" si="1"/>
        <v>90.259999999999991</v>
      </c>
      <c r="O43" s="29">
        <f t="shared" si="1"/>
        <v>0</v>
      </c>
      <c r="P43" s="29">
        <f t="shared" si="1"/>
        <v>0</v>
      </c>
      <c r="Q43" s="29">
        <f t="shared" si="1"/>
        <v>0</v>
      </c>
    </row>
    <row r="44" spans="1:17" s="32" customFormat="1" ht="30" customHeight="1" x14ac:dyDescent="0.25">
      <c r="A44" s="21"/>
      <c r="B44" s="21"/>
      <c r="C44" s="21"/>
      <c r="D44" s="21"/>
      <c r="E44" s="21"/>
      <c r="F44" s="21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s="32" customFormat="1" ht="45" x14ac:dyDescent="0.25">
      <c r="A45" s="7" t="s">
        <v>789</v>
      </c>
      <c r="B45" s="7" t="s">
        <v>790</v>
      </c>
      <c r="C45" s="7">
        <v>127</v>
      </c>
      <c r="D45" s="10" t="s">
        <v>668</v>
      </c>
      <c r="E45" s="11" t="s">
        <v>411</v>
      </c>
      <c r="F45" s="11" t="s">
        <v>915</v>
      </c>
      <c r="G45" s="231">
        <f>SUM(H45:Q45)</f>
        <v>0.45</v>
      </c>
      <c r="H45" s="29">
        <v>0.45</v>
      </c>
      <c r="I45" s="29"/>
      <c r="J45" s="29"/>
      <c r="K45" s="29"/>
      <c r="L45" s="29"/>
      <c r="M45" s="29"/>
      <c r="N45" s="29"/>
      <c r="O45" s="29"/>
      <c r="P45" s="29"/>
      <c r="Q45" s="29"/>
    </row>
    <row r="46" spans="1:17" s="32" customFormat="1" ht="45" x14ac:dyDescent="0.25">
      <c r="A46" s="7" t="s">
        <v>789</v>
      </c>
      <c r="B46" s="7" t="s">
        <v>790</v>
      </c>
      <c r="C46" s="7">
        <v>127</v>
      </c>
      <c r="D46" s="10" t="s">
        <v>668</v>
      </c>
      <c r="E46" s="11" t="s">
        <v>564</v>
      </c>
      <c r="F46" s="10" t="s">
        <v>327</v>
      </c>
      <c r="G46" s="231">
        <f>SUM(H46:Q46)</f>
        <v>0.45</v>
      </c>
      <c r="H46" s="29">
        <v>0.45</v>
      </c>
      <c r="I46" s="29"/>
      <c r="J46" s="29"/>
      <c r="K46" s="29"/>
      <c r="L46" s="29"/>
      <c r="M46" s="29"/>
      <c r="N46" s="29"/>
      <c r="O46" s="29"/>
      <c r="P46" s="29"/>
      <c r="Q46" s="29"/>
    </row>
    <row r="47" spans="1:17" s="32" customFormat="1" ht="45" x14ac:dyDescent="0.25">
      <c r="A47" s="7" t="s">
        <v>789</v>
      </c>
      <c r="B47" s="7" t="s">
        <v>790</v>
      </c>
      <c r="C47" s="7">
        <v>127</v>
      </c>
      <c r="D47" s="10" t="s">
        <v>668</v>
      </c>
      <c r="E47" s="11" t="s">
        <v>600</v>
      </c>
      <c r="F47" s="10" t="s">
        <v>326</v>
      </c>
      <c r="G47" s="231">
        <f t="shared" ref="G47:G52" si="2">SUM(H47:Q47)</f>
        <v>63</v>
      </c>
      <c r="H47" s="29"/>
      <c r="I47" s="29">
        <v>21</v>
      </c>
      <c r="J47" s="29">
        <v>21</v>
      </c>
      <c r="K47" s="29">
        <v>7</v>
      </c>
      <c r="L47" s="29"/>
      <c r="M47" s="29"/>
      <c r="N47" s="29">
        <v>14</v>
      </c>
      <c r="O47" s="29"/>
      <c r="P47" s="29"/>
      <c r="Q47" s="29"/>
    </row>
    <row r="48" spans="1:17" s="32" customFormat="1" ht="45" x14ac:dyDescent="0.25">
      <c r="A48" s="7" t="s">
        <v>789</v>
      </c>
      <c r="B48" s="7" t="s">
        <v>790</v>
      </c>
      <c r="C48" s="7">
        <v>127</v>
      </c>
      <c r="D48" s="10" t="s">
        <v>668</v>
      </c>
      <c r="E48" s="11" t="s">
        <v>397</v>
      </c>
      <c r="F48" s="10" t="s">
        <v>136</v>
      </c>
      <c r="G48" s="231">
        <f t="shared" si="2"/>
        <v>1.5</v>
      </c>
      <c r="H48" s="29">
        <v>1.5</v>
      </c>
      <c r="I48" s="29"/>
      <c r="J48" s="29"/>
      <c r="K48" s="29"/>
      <c r="L48" s="29"/>
      <c r="M48" s="29"/>
      <c r="N48" s="29"/>
      <c r="O48" s="29"/>
      <c r="P48" s="29"/>
      <c r="Q48" s="29"/>
    </row>
    <row r="49" spans="1:17" s="32" customFormat="1" ht="45" x14ac:dyDescent="0.25">
      <c r="A49" s="7" t="s">
        <v>789</v>
      </c>
      <c r="B49" s="7" t="s">
        <v>790</v>
      </c>
      <c r="C49" s="7">
        <v>127</v>
      </c>
      <c r="D49" s="10" t="s">
        <v>668</v>
      </c>
      <c r="E49" s="11" t="s">
        <v>540</v>
      </c>
      <c r="F49" s="10" t="s">
        <v>1005</v>
      </c>
      <c r="G49" s="231">
        <f t="shared" si="2"/>
        <v>11.969999999999999</v>
      </c>
      <c r="H49" s="29">
        <v>3.42</v>
      </c>
      <c r="I49" s="29">
        <v>2.8499999999999996</v>
      </c>
      <c r="J49" s="29">
        <v>2.8499999999999996</v>
      </c>
      <c r="K49" s="29">
        <v>0.95</v>
      </c>
      <c r="L49" s="29"/>
      <c r="M49" s="29"/>
      <c r="N49" s="29">
        <v>1.9</v>
      </c>
      <c r="O49" s="29"/>
      <c r="P49" s="29"/>
      <c r="Q49" s="29"/>
    </row>
    <row r="50" spans="1:17" s="32" customFormat="1" ht="45" x14ac:dyDescent="0.25">
      <c r="A50" s="7" t="s">
        <v>789</v>
      </c>
      <c r="B50" s="7" t="s">
        <v>790</v>
      </c>
      <c r="C50" s="7">
        <v>127</v>
      </c>
      <c r="D50" s="10" t="s">
        <v>668</v>
      </c>
      <c r="E50" s="11" t="s">
        <v>401</v>
      </c>
      <c r="F50" s="10" t="s">
        <v>923</v>
      </c>
      <c r="G50" s="231">
        <f t="shared" si="2"/>
        <v>7.2</v>
      </c>
      <c r="H50" s="29">
        <v>7.2</v>
      </c>
      <c r="I50" s="29"/>
      <c r="J50" s="29"/>
      <c r="K50" s="29"/>
      <c r="L50" s="29"/>
      <c r="M50" s="29"/>
      <c r="N50" s="29"/>
      <c r="O50" s="29"/>
      <c r="P50" s="29"/>
      <c r="Q50" s="29"/>
    </row>
    <row r="51" spans="1:17" s="32" customFormat="1" ht="45" x14ac:dyDescent="0.25">
      <c r="A51" s="7" t="s">
        <v>789</v>
      </c>
      <c r="B51" s="7" t="s">
        <v>790</v>
      </c>
      <c r="C51" s="7">
        <v>128</v>
      </c>
      <c r="D51" s="10" t="s">
        <v>924</v>
      </c>
      <c r="E51" s="11" t="s">
        <v>411</v>
      </c>
      <c r="F51" s="180" t="s">
        <v>925</v>
      </c>
      <c r="G51" s="231">
        <f t="shared" si="2"/>
        <v>2.7</v>
      </c>
      <c r="H51" s="29"/>
      <c r="I51" s="29">
        <v>0.9</v>
      </c>
      <c r="J51" s="29">
        <v>0.9</v>
      </c>
      <c r="K51" s="29">
        <v>0.3</v>
      </c>
      <c r="L51" s="29"/>
      <c r="M51" s="29"/>
      <c r="N51" s="29">
        <v>0.6</v>
      </c>
      <c r="O51" s="29"/>
      <c r="P51" s="29"/>
      <c r="Q51" s="29"/>
    </row>
    <row r="52" spans="1:17" s="32" customFormat="1" ht="45" x14ac:dyDescent="0.25">
      <c r="A52" s="7" t="s">
        <v>936</v>
      </c>
      <c r="B52" s="7" t="s">
        <v>790</v>
      </c>
      <c r="C52" s="7">
        <v>129</v>
      </c>
      <c r="D52" s="10" t="s">
        <v>937</v>
      </c>
      <c r="E52" s="11" t="s">
        <v>411</v>
      </c>
      <c r="F52" s="180" t="s">
        <v>926</v>
      </c>
      <c r="G52" s="231">
        <f t="shared" si="2"/>
        <v>4.68</v>
      </c>
      <c r="H52" s="29">
        <v>4.68</v>
      </c>
      <c r="I52" s="29"/>
      <c r="J52" s="29"/>
      <c r="K52" s="29"/>
      <c r="L52" s="29"/>
      <c r="M52" s="29"/>
      <c r="N52" s="29"/>
      <c r="O52" s="29"/>
      <c r="P52" s="29"/>
      <c r="Q52" s="29"/>
    </row>
    <row r="53" spans="1:17" s="32" customFormat="1" ht="30" customHeight="1" x14ac:dyDescent="0.25">
      <c r="A53" s="31"/>
      <c r="B53" s="31"/>
      <c r="C53" s="31"/>
      <c r="D53" s="31"/>
      <c r="E53" s="31"/>
      <c r="F53" s="31" t="s">
        <v>895</v>
      </c>
      <c r="G53" s="29">
        <f t="shared" ref="G53:Q53" si="3">SUM(G45:G52)</f>
        <v>91.950000000000017</v>
      </c>
      <c r="H53" s="29">
        <f t="shared" si="3"/>
        <v>17.7</v>
      </c>
      <c r="I53" s="29">
        <f t="shared" si="3"/>
        <v>24.75</v>
      </c>
      <c r="J53" s="29">
        <f t="shared" si="3"/>
        <v>24.75</v>
      </c>
      <c r="K53" s="29">
        <f t="shared" si="3"/>
        <v>8.25</v>
      </c>
      <c r="L53" s="29">
        <f t="shared" si="3"/>
        <v>0</v>
      </c>
      <c r="M53" s="29">
        <f t="shared" si="3"/>
        <v>0</v>
      </c>
      <c r="N53" s="29">
        <f t="shared" si="3"/>
        <v>16.5</v>
      </c>
      <c r="O53" s="29">
        <f t="shared" si="3"/>
        <v>0</v>
      </c>
      <c r="P53" s="29">
        <f t="shared" si="3"/>
        <v>0</v>
      </c>
      <c r="Q53" s="29">
        <f t="shared" si="3"/>
        <v>0</v>
      </c>
    </row>
    <row r="54" spans="1:17" s="32" customFormat="1" ht="30" customHeight="1" x14ac:dyDescent="0.25">
      <c r="A54" s="343" t="s">
        <v>791</v>
      </c>
      <c r="B54" s="343"/>
      <c r="C54" s="343"/>
      <c r="D54" s="343"/>
      <c r="E54" s="343"/>
      <c r="F54" s="343"/>
      <c r="G54" s="29">
        <f t="shared" ref="G54:Q54" si="4">G53+G43</f>
        <v>936.2199999999998</v>
      </c>
      <c r="H54" s="29">
        <f t="shared" si="4"/>
        <v>402.01999999999992</v>
      </c>
      <c r="I54" s="29">
        <f t="shared" si="4"/>
        <v>175.63000000000002</v>
      </c>
      <c r="J54" s="29">
        <f t="shared" si="4"/>
        <v>170.63</v>
      </c>
      <c r="K54" s="29">
        <f t="shared" si="4"/>
        <v>47.55</v>
      </c>
      <c r="L54" s="29">
        <f t="shared" si="4"/>
        <v>33.630000000000003</v>
      </c>
      <c r="M54" s="29">
        <f t="shared" si="4"/>
        <v>0</v>
      </c>
      <c r="N54" s="29">
        <f t="shared" si="4"/>
        <v>106.75999999999999</v>
      </c>
      <c r="O54" s="29">
        <f t="shared" si="4"/>
        <v>0</v>
      </c>
      <c r="P54" s="29">
        <f t="shared" si="4"/>
        <v>0</v>
      </c>
      <c r="Q54" s="29">
        <f t="shared" si="4"/>
        <v>0</v>
      </c>
    </row>
    <row r="55" spans="1:17" s="27" customFormat="1" ht="33.950000000000003" customHeight="1" x14ac:dyDescent="0.25">
      <c r="D55" s="28"/>
      <c r="E55" s="28"/>
      <c r="F55" s="23" t="s">
        <v>249</v>
      </c>
      <c r="G55" s="35">
        <f>G54-G56</f>
        <v>408.78999999999985</v>
      </c>
      <c r="H55" s="35">
        <f t="shared" ref="H55:Q55" si="5">H54-H56</f>
        <v>387.92999999999995</v>
      </c>
      <c r="I55" s="35">
        <f t="shared" si="5"/>
        <v>60.90000000000002</v>
      </c>
      <c r="J55" s="35">
        <f t="shared" si="5"/>
        <v>54.959999999999994</v>
      </c>
      <c r="K55" s="35">
        <f t="shared" si="5"/>
        <v>17.599999999999998</v>
      </c>
      <c r="L55" s="35">
        <f t="shared" si="5"/>
        <v>8.0700000000000038</v>
      </c>
      <c r="M55" s="35">
        <f t="shared" si="5"/>
        <v>0</v>
      </c>
      <c r="N55" s="35">
        <f t="shared" si="5"/>
        <v>36.089999999999989</v>
      </c>
      <c r="O55" s="35">
        <f t="shared" si="5"/>
        <v>0</v>
      </c>
      <c r="P55" s="35">
        <f t="shared" si="5"/>
        <v>0</v>
      </c>
      <c r="Q55" s="35">
        <f t="shared" si="5"/>
        <v>0</v>
      </c>
    </row>
    <row r="56" spans="1:17" ht="33.950000000000003" customHeight="1" x14ac:dyDescent="0.25">
      <c r="F56" s="23" t="s">
        <v>19</v>
      </c>
      <c r="G56" s="30">
        <f>G41+G17+G18+G19+G20+G21+G22+G23+G24+G25+G26+G27</f>
        <v>527.42999999999995</v>
      </c>
      <c r="H56" s="30">
        <f t="shared" ref="H56:Q56" si="6">H41+H17+H18+H19+H20+H21+H22+H23+H24</f>
        <v>14.09</v>
      </c>
      <c r="I56" s="30">
        <f t="shared" si="6"/>
        <v>114.73</v>
      </c>
      <c r="J56" s="30">
        <f t="shared" si="6"/>
        <v>115.67</v>
      </c>
      <c r="K56" s="30">
        <f t="shared" si="6"/>
        <v>29.95</v>
      </c>
      <c r="L56" s="30">
        <f t="shared" si="6"/>
        <v>25.56</v>
      </c>
      <c r="M56" s="30">
        <f t="shared" si="6"/>
        <v>0</v>
      </c>
      <c r="N56" s="30">
        <f t="shared" si="6"/>
        <v>70.67</v>
      </c>
      <c r="O56" s="30">
        <f t="shared" si="6"/>
        <v>0</v>
      </c>
      <c r="P56" s="30">
        <f t="shared" si="6"/>
        <v>0</v>
      </c>
      <c r="Q56" s="30">
        <f t="shared" si="6"/>
        <v>0</v>
      </c>
    </row>
    <row r="57" spans="1:17" ht="33.950000000000003" customHeight="1" x14ac:dyDescent="0.25">
      <c r="F57" s="23" t="s">
        <v>951</v>
      </c>
      <c r="G57" s="30">
        <f t="shared" ref="G57:Q57" si="7">G41</f>
        <v>14.09</v>
      </c>
      <c r="H57" s="30">
        <f t="shared" si="7"/>
        <v>14.09</v>
      </c>
      <c r="I57" s="30">
        <f t="shared" si="7"/>
        <v>0</v>
      </c>
      <c r="J57" s="30">
        <f t="shared" si="7"/>
        <v>0</v>
      </c>
      <c r="K57" s="30">
        <f t="shared" si="7"/>
        <v>0</v>
      </c>
      <c r="L57" s="30">
        <f t="shared" si="7"/>
        <v>0</v>
      </c>
      <c r="M57" s="30">
        <f t="shared" si="7"/>
        <v>0</v>
      </c>
      <c r="N57" s="30">
        <f t="shared" si="7"/>
        <v>0</v>
      </c>
      <c r="O57" s="30">
        <f t="shared" si="7"/>
        <v>0</v>
      </c>
      <c r="P57" s="30">
        <f t="shared" si="7"/>
        <v>0</v>
      </c>
      <c r="Q57" s="30">
        <f t="shared" si="7"/>
        <v>0</v>
      </c>
    </row>
    <row r="58" spans="1:17" ht="33.950000000000003" customHeight="1" x14ac:dyDescent="0.25">
      <c r="F58" s="23" t="s">
        <v>952</v>
      </c>
      <c r="G58" s="30">
        <f>G56-G57</f>
        <v>513.33999999999992</v>
      </c>
      <c r="H58" s="30">
        <f t="shared" ref="H58:Q58" si="8">H56-H57</f>
        <v>0</v>
      </c>
      <c r="I58" s="30">
        <f t="shared" si="8"/>
        <v>114.73</v>
      </c>
      <c r="J58" s="30">
        <f t="shared" si="8"/>
        <v>115.67</v>
      </c>
      <c r="K58" s="30">
        <f t="shared" si="8"/>
        <v>29.95</v>
      </c>
      <c r="L58" s="30">
        <f t="shared" si="8"/>
        <v>25.56</v>
      </c>
      <c r="M58" s="30">
        <f t="shared" si="8"/>
        <v>0</v>
      </c>
      <c r="N58" s="30">
        <f t="shared" si="8"/>
        <v>70.67</v>
      </c>
      <c r="O58" s="30">
        <f t="shared" si="8"/>
        <v>0</v>
      </c>
      <c r="P58" s="30">
        <f t="shared" si="8"/>
        <v>0</v>
      </c>
      <c r="Q58" s="30">
        <f t="shared" si="8"/>
        <v>0</v>
      </c>
    </row>
    <row r="59" spans="1:17" ht="33.950000000000003" customHeight="1" x14ac:dyDescent="0.25">
      <c r="F59" s="23" t="s">
        <v>20</v>
      </c>
      <c r="G59" s="30">
        <f>G55+G56</f>
        <v>936.2199999999998</v>
      </c>
      <c r="H59" s="30">
        <f t="shared" ref="H59:Q59" si="9">H55+H56</f>
        <v>402.01999999999992</v>
      </c>
      <c r="I59" s="30">
        <f t="shared" si="9"/>
        <v>175.63000000000002</v>
      </c>
      <c r="J59" s="30">
        <f t="shared" si="9"/>
        <v>170.63</v>
      </c>
      <c r="K59" s="30">
        <f t="shared" si="9"/>
        <v>47.55</v>
      </c>
      <c r="L59" s="30">
        <f t="shared" si="9"/>
        <v>33.630000000000003</v>
      </c>
      <c r="M59" s="30">
        <f t="shared" si="9"/>
        <v>0</v>
      </c>
      <c r="N59" s="30">
        <f t="shared" si="9"/>
        <v>106.75999999999999</v>
      </c>
      <c r="O59" s="30">
        <f t="shared" si="9"/>
        <v>0</v>
      </c>
      <c r="P59" s="30">
        <f t="shared" si="9"/>
        <v>0</v>
      </c>
      <c r="Q59" s="30">
        <f t="shared" si="9"/>
        <v>0</v>
      </c>
    </row>
    <row r="60" spans="1:17" ht="409.5" x14ac:dyDescent="0.25">
      <c r="K60" s="22" t="s">
        <v>227</v>
      </c>
    </row>
  </sheetData>
  <autoFilter ref="A3:Q43" xr:uid="{00000000-0009-0000-0000-000022000000}"/>
  <mergeCells count="2">
    <mergeCell ref="A1:G1"/>
    <mergeCell ref="A54:F54"/>
  </mergeCells>
  <phoneticPr fontId="15" type="noConversion"/>
  <pageMargins left="0.7" right="0.7" top="0.75" bottom="0.75" header="0.3" footer="0.3"/>
  <pageSetup paperSize="5" scale="60" fitToHeight="8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E6AF-390E-4A0A-94DA-0685CEEF26CA}">
  <sheetPr>
    <tabColor rgb="FFFF0000"/>
    <pageSetUpPr fitToPage="1"/>
  </sheetPr>
  <dimension ref="A1:R27"/>
  <sheetViews>
    <sheetView view="pageBreakPreview" zoomScale="85" zoomScaleNormal="100" zoomScaleSheetLayoutView="85" workbookViewId="0">
      <selection activeCell="H27" sqref="H27"/>
    </sheetView>
  </sheetViews>
  <sheetFormatPr defaultColWidth="9.140625" defaultRowHeight="15.75" x14ac:dyDescent="0.25"/>
  <cols>
    <col min="1" max="1" width="10.42578125" style="93" bestFit="1" customWidth="1"/>
    <col min="2" max="2" width="12.42578125" style="93" bestFit="1" customWidth="1"/>
    <col min="3" max="3" width="9.7109375" style="93" bestFit="1" customWidth="1"/>
    <col min="4" max="4" width="44.28515625" style="93" customWidth="1"/>
    <col min="5" max="5" width="38.140625" style="93" customWidth="1"/>
    <col min="6" max="6" width="51.85546875" style="72" customWidth="1"/>
    <col min="7" max="7" width="12.140625" style="94" customWidth="1"/>
    <col min="8" max="17" width="12.140625" style="72" customWidth="1"/>
    <col min="19" max="16384" width="9.140625" style="72"/>
  </cols>
  <sheetData>
    <row r="1" spans="1:17" ht="24" customHeight="1" x14ac:dyDescent="0.25">
      <c r="A1" s="337" t="s">
        <v>847</v>
      </c>
      <c r="B1" s="337"/>
      <c r="C1" s="337"/>
      <c r="D1" s="337"/>
      <c r="E1" s="337"/>
      <c r="F1" s="337"/>
      <c r="G1" s="337"/>
      <c r="H1" s="89"/>
      <c r="I1" s="89"/>
      <c r="J1" s="89"/>
      <c r="K1" s="89"/>
      <c r="L1" s="89"/>
      <c r="M1" s="89"/>
      <c r="N1" s="89"/>
      <c r="O1" s="89"/>
      <c r="P1" s="90"/>
      <c r="Q1" s="89"/>
    </row>
    <row r="2" spans="1:17" s="70" customFormat="1" ht="55.5" customHeight="1" x14ac:dyDescent="0.25">
      <c r="A2" s="41" t="s">
        <v>705</v>
      </c>
      <c r="B2" s="41" t="s">
        <v>18</v>
      </c>
      <c r="C2" s="41" t="s">
        <v>628</v>
      </c>
      <c r="D2" s="41" t="s">
        <v>486</v>
      </c>
      <c r="E2" s="41" t="s">
        <v>487</v>
      </c>
      <c r="F2" s="41" t="s">
        <v>988</v>
      </c>
      <c r="G2" s="41" t="s">
        <v>836</v>
      </c>
      <c r="H2" s="41" t="s">
        <v>3</v>
      </c>
      <c r="I2" s="79" t="s">
        <v>827</v>
      </c>
      <c r="J2" s="79" t="s">
        <v>828</v>
      </c>
      <c r="K2" s="79" t="s">
        <v>6</v>
      </c>
      <c r="L2" s="79" t="s">
        <v>7</v>
      </c>
      <c r="M2" s="79" t="s">
        <v>8</v>
      </c>
      <c r="N2" s="79" t="s">
        <v>9</v>
      </c>
      <c r="O2" s="79" t="s">
        <v>10</v>
      </c>
      <c r="P2" s="41" t="s">
        <v>11</v>
      </c>
      <c r="Q2" s="79" t="s">
        <v>12</v>
      </c>
    </row>
    <row r="3" spans="1:17" s="70" customFormat="1" x14ac:dyDescent="0.25">
      <c r="A3" s="41"/>
      <c r="B3" s="41"/>
      <c r="C3" s="41"/>
      <c r="D3" s="41"/>
      <c r="E3" s="41"/>
      <c r="F3" s="41"/>
      <c r="G3" s="41"/>
      <c r="H3" s="41"/>
      <c r="I3" s="79"/>
      <c r="J3" s="79"/>
      <c r="K3" s="79"/>
      <c r="L3" s="79"/>
      <c r="M3" s="79"/>
      <c r="N3" s="79"/>
      <c r="O3" s="79"/>
      <c r="P3" s="41"/>
      <c r="Q3" s="79"/>
    </row>
    <row r="4" spans="1:17" ht="32.25" customHeight="1" x14ac:dyDescent="0.25">
      <c r="A4" s="58" t="s">
        <v>714</v>
      </c>
      <c r="B4" s="95" t="s">
        <v>629</v>
      </c>
      <c r="C4" s="95">
        <v>35</v>
      </c>
      <c r="D4" s="81" t="s">
        <v>440</v>
      </c>
      <c r="E4" s="16" t="s">
        <v>397</v>
      </c>
      <c r="F4" s="81" t="s">
        <v>955</v>
      </c>
      <c r="G4" s="181">
        <f t="shared" ref="G4:G26" si="0">SUM(H4:Q4)</f>
        <v>0.4</v>
      </c>
      <c r="H4" s="58">
        <v>0.4</v>
      </c>
      <c r="I4" s="58"/>
      <c r="J4" s="58"/>
      <c r="K4" s="58"/>
      <c r="L4" s="58"/>
      <c r="M4" s="58"/>
      <c r="N4" s="58"/>
      <c r="O4" s="58"/>
      <c r="P4" s="58"/>
      <c r="Q4" s="58"/>
    </row>
    <row r="5" spans="1:17" ht="32.25" customHeight="1" x14ac:dyDescent="0.25">
      <c r="A5" s="58" t="s">
        <v>714</v>
      </c>
      <c r="B5" s="95" t="s">
        <v>629</v>
      </c>
      <c r="C5" s="95">
        <v>35</v>
      </c>
      <c r="D5" s="81" t="s">
        <v>440</v>
      </c>
      <c r="E5" s="16" t="s">
        <v>400</v>
      </c>
      <c r="F5" s="81" t="s">
        <v>956</v>
      </c>
      <c r="G5" s="181">
        <f t="shared" si="0"/>
        <v>1.04</v>
      </c>
      <c r="H5" s="58">
        <v>1.04</v>
      </c>
      <c r="I5" s="58"/>
      <c r="J5" s="58"/>
      <c r="K5" s="58"/>
      <c r="L5" s="58"/>
      <c r="M5" s="58"/>
      <c r="N5" s="58"/>
      <c r="O5" s="58"/>
      <c r="P5" s="58"/>
      <c r="Q5" s="58"/>
    </row>
    <row r="6" spans="1:17" ht="32.25" customHeight="1" x14ac:dyDescent="0.25">
      <c r="A6" s="58" t="s">
        <v>714</v>
      </c>
      <c r="B6" s="95" t="s">
        <v>629</v>
      </c>
      <c r="C6" s="95">
        <v>35</v>
      </c>
      <c r="D6" s="81" t="s">
        <v>440</v>
      </c>
      <c r="E6" s="16" t="s">
        <v>371</v>
      </c>
      <c r="F6" s="81" t="s">
        <v>957</v>
      </c>
      <c r="G6" s="181">
        <f t="shared" si="0"/>
        <v>6.9399999999999995</v>
      </c>
      <c r="H6" s="58"/>
      <c r="I6" s="58">
        <v>0.62</v>
      </c>
      <c r="J6" s="58">
        <v>0.6</v>
      </c>
      <c r="K6" s="277">
        <v>1.6</v>
      </c>
      <c r="L6" s="58"/>
      <c r="M6" s="58">
        <v>0.8</v>
      </c>
      <c r="N6" s="58">
        <v>1.5</v>
      </c>
      <c r="O6" s="58">
        <v>1.22</v>
      </c>
      <c r="P6" s="58">
        <v>0.6</v>
      </c>
      <c r="Q6" s="58"/>
    </row>
    <row r="7" spans="1:17" ht="32.25" customHeight="1" x14ac:dyDescent="0.25">
      <c r="A7" s="58" t="s">
        <v>714</v>
      </c>
      <c r="B7" s="95" t="s">
        <v>629</v>
      </c>
      <c r="C7" s="95">
        <v>35</v>
      </c>
      <c r="D7" s="81" t="s">
        <v>440</v>
      </c>
      <c r="E7" s="16" t="s">
        <v>445</v>
      </c>
      <c r="F7" s="81" t="s">
        <v>829</v>
      </c>
      <c r="G7" s="181">
        <f t="shared" si="0"/>
        <v>1.4</v>
      </c>
      <c r="H7" s="58"/>
      <c r="I7" s="120">
        <v>0.2</v>
      </c>
      <c r="J7" s="120">
        <v>0.2</v>
      </c>
      <c r="K7" s="120">
        <v>0.2</v>
      </c>
      <c r="L7" s="120"/>
      <c r="M7" s="120">
        <v>0.2</v>
      </c>
      <c r="N7" s="120">
        <v>0.2</v>
      </c>
      <c r="O7" s="120">
        <v>0.2</v>
      </c>
      <c r="P7" s="120">
        <v>0.2</v>
      </c>
      <c r="Q7" s="120"/>
    </row>
    <row r="8" spans="1:17" ht="47.25" x14ac:dyDescent="0.25">
      <c r="A8" s="58" t="s">
        <v>714</v>
      </c>
      <c r="B8" s="95" t="s">
        <v>629</v>
      </c>
      <c r="C8" s="95">
        <v>35</v>
      </c>
      <c r="D8" s="81" t="s">
        <v>440</v>
      </c>
      <c r="E8" s="16" t="s">
        <v>445</v>
      </c>
      <c r="F8" s="81" t="s">
        <v>958</v>
      </c>
      <c r="G8" s="181">
        <f t="shared" si="0"/>
        <v>4</v>
      </c>
      <c r="H8" s="58"/>
      <c r="I8" s="58">
        <v>0.8</v>
      </c>
      <c r="J8" s="58">
        <v>0.5</v>
      </c>
      <c r="K8" s="58">
        <v>0.96</v>
      </c>
      <c r="L8" s="58"/>
      <c r="M8" s="58">
        <v>0.5</v>
      </c>
      <c r="N8" s="58">
        <v>0.5</v>
      </c>
      <c r="O8" s="58">
        <v>0.5</v>
      </c>
      <c r="P8" s="58">
        <v>0.24</v>
      </c>
      <c r="Q8" s="58"/>
    </row>
    <row r="9" spans="1:17" ht="32.25" customHeight="1" x14ac:dyDescent="0.25">
      <c r="A9" s="58" t="s">
        <v>714</v>
      </c>
      <c r="B9" s="95" t="s">
        <v>629</v>
      </c>
      <c r="C9" s="95">
        <v>35</v>
      </c>
      <c r="D9" s="81" t="s">
        <v>440</v>
      </c>
      <c r="E9" s="16" t="s">
        <v>401</v>
      </c>
      <c r="F9" s="81" t="s">
        <v>959</v>
      </c>
      <c r="G9" s="181">
        <f t="shared" si="0"/>
        <v>2.2000000000000002</v>
      </c>
      <c r="H9" s="41">
        <v>2.2000000000000002</v>
      </c>
      <c r="I9" s="58"/>
      <c r="J9" s="58"/>
      <c r="K9" s="58"/>
      <c r="L9" s="58"/>
      <c r="M9" s="58"/>
      <c r="N9" s="58"/>
      <c r="O9" s="58"/>
      <c r="P9" s="58"/>
      <c r="Q9" s="58"/>
    </row>
    <row r="10" spans="1:17" ht="32.25" customHeight="1" x14ac:dyDescent="0.25">
      <c r="A10" s="58" t="s">
        <v>714</v>
      </c>
      <c r="B10" s="95" t="s">
        <v>629</v>
      </c>
      <c r="C10" s="95">
        <v>36</v>
      </c>
      <c r="D10" s="81" t="s">
        <v>441</v>
      </c>
      <c r="E10" s="16" t="s">
        <v>118</v>
      </c>
      <c r="F10" s="81" t="s">
        <v>442</v>
      </c>
      <c r="G10" s="181">
        <f t="shared" si="0"/>
        <v>28.66</v>
      </c>
      <c r="H10" s="58">
        <v>28.66</v>
      </c>
      <c r="I10" s="58"/>
      <c r="J10" s="58"/>
      <c r="K10" s="58"/>
      <c r="L10" s="58"/>
      <c r="M10" s="58"/>
      <c r="N10" s="58"/>
      <c r="O10" s="58"/>
      <c r="P10" s="58"/>
      <c r="Q10" s="58"/>
    </row>
    <row r="11" spans="1:17" ht="32.25" customHeight="1" x14ac:dyDescent="0.25">
      <c r="A11" s="58" t="s">
        <v>714</v>
      </c>
      <c r="B11" s="95" t="s">
        <v>629</v>
      </c>
      <c r="C11" s="95">
        <v>36</v>
      </c>
      <c r="D11" s="81" t="s">
        <v>441</v>
      </c>
      <c r="E11" s="16" t="s">
        <v>401</v>
      </c>
      <c r="F11" s="81" t="s">
        <v>960</v>
      </c>
      <c r="G11" s="181">
        <f t="shared" si="0"/>
        <v>5</v>
      </c>
      <c r="H11" s="58">
        <v>5</v>
      </c>
      <c r="I11" s="58"/>
      <c r="J11" s="58"/>
      <c r="K11" s="58"/>
      <c r="L11" s="58"/>
      <c r="M11" s="58">
        <v>0</v>
      </c>
      <c r="N11" s="58"/>
      <c r="O11" s="58"/>
      <c r="P11" s="58"/>
      <c r="Q11" s="58"/>
    </row>
    <row r="12" spans="1:17" ht="47.25" x14ac:dyDescent="0.25">
      <c r="A12" s="58" t="s">
        <v>714</v>
      </c>
      <c r="B12" s="95" t="s">
        <v>629</v>
      </c>
      <c r="C12" s="95">
        <v>38</v>
      </c>
      <c r="D12" s="81" t="s">
        <v>444</v>
      </c>
      <c r="E12" s="16" t="s">
        <v>400</v>
      </c>
      <c r="F12" s="81" t="s">
        <v>961</v>
      </c>
      <c r="G12" s="181">
        <f t="shared" si="0"/>
        <v>9.1</v>
      </c>
      <c r="H12" s="58"/>
      <c r="I12" s="58">
        <v>5.6</v>
      </c>
      <c r="J12" s="58">
        <v>3.5</v>
      </c>
      <c r="K12" s="58"/>
      <c r="L12" s="58"/>
      <c r="M12" s="58"/>
      <c r="N12" s="58"/>
      <c r="O12" s="58"/>
      <c r="P12" s="58"/>
      <c r="Q12" s="58"/>
    </row>
    <row r="13" spans="1:17" ht="47.25" x14ac:dyDescent="0.25">
      <c r="A13" s="58" t="s">
        <v>714</v>
      </c>
      <c r="B13" s="95" t="s">
        <v>629</v>
      </c>
      <c r="C13" s="95">
        <v>38</v>
      </c>
      <c r="D13" s="81" t="s">
        <v>444</v>
      </c>
      <c r="E13" s="81" t="s">
        <v>200</v>
      </c>
      <c r="F13" s="81" t="s">
        <v>962</v>
      </c>
      <c r="G13" s="181">
        <f t="shared" si="0"/>
        <v>3.6959999999999997</v>
      </c>
      <c r="H13" s="58"/>
      <c r="I13" s="58">
        <v>0.67600000000000005</v>
      </c>
      <c r="J13" s="58">
        <v>0.42399999999999999</v>
      </c>
      <c r="K13" s="58">
        <v>0.52800000000000002</v>
      </c>
      <c r="L13" s="58"/>
      <c r="M13" s="58">
        <v>0.71199999999999997</v>
      </c>
      <c r="N13" s="58">
        <v>0.78</v>
      </c>
      <c r="O13" s="58">
        <v>0.27600000000000002</v>
      </c>
      <c r="P13" s="58">
        <v>0.3</v>
      </c>
      <c r="Q13" s="58"/>
    </row>
    <row r="14" spans="1:17" ht="32.25" customHeight="1" x14ac:dyDescent="0.25">
      <c r="A14" s="58" t="s">
        <v>714</v>
      </c>
      <c r="B14" s="95" t="s">
        <v>629</v>
      </c>
      <c r="C14" s="95">
        <v>38</v>
      </c>
      <c r="D14" s="81" t="s">
        <v>444</v>
      </c>
      <c r="E14" s="16" t="s">
        <v>371</v>
      </c>
      <c r="F14" s="81" t="s">
        <v>963</v>
      </c>
      <c r="G14" s="181">
        <f t="shared" si="0"/>
        <v>16.667999999999999</v>
      </c>
      <c r="H14" s="58"/>
      <c r="I14" s="58">
        <v>3.0419999999999998</v>
      </c>
      <c r="J14" s="58">
        <v>1.9079999999999999</v>
      </c>
      <c r="K14" s="58">
        <v>2.3759999999999999</v>
      </c>
      <c r="L14" s="58"/>
      <c r="M14" s="58">
        <v>3.2040000000000002</v>
      </c>
      <c r="N14" s="58">
        <v>3.528</v>
      </c>
      <c r="O14" s="58">
        <v>1.242</v>
      </c>
      <c r="P14" s="58">
        <v>1.3680000000000001</v>
      </c>
      <c r="Q14" s="58"/>
    </row>
    <row r="15" spans="1:17" ht="63" x14ac:dyDescent="0.25">
      <c r="A15" s="58" t="s">
        <v>714</v>
      </c>
      <c r="B15" s="95" t="s">
        <v>629</v>
      </c>
      <c r="C15" s="95">
        <v>38</v>
      </c>
      <c r="D15" s="81" t="s">
        <v>444</v>
      </c>
      <c r="E15" s="16" t="s">
        <v>401</v>
      </c>
      <c r="F15" s="81" t="s">
        <v>964</v>
      </c>
      <c r="G15" s="181">
        <f t="shared" si="0"/>
        <v>2.2000000000000002</v>
      </c>
      <c r="H15" s="58">
        <v>2.2000000000000002</v>
      </c>
      <c r="I15" s="58"/>
      <c r="J15" s="58"/>
      <c r="K15" s="58"/>
      <c r="L15" s="58"/>
      <c r="M15" s="58"/>
      <c r="N15" s="58"/>
      <c r="O15" s="58"/>
      <c r="P15" s="58"/>
      <c r="Q15" s="58"/>
    </row>
    <row r="16" spans="1:17" ht="32.25" customHeight="1" x14ac:dyDescent="0.25">
      <c r="A16" s="58" t="s">
        <v>714</v>
      </c>
      <c r="B16" s="95" t="s">
        <v>629</v>
      </c>
      <c r="C16" s="95">
        <v>38</v>
      </c>
      <c r="D16" s="81" t="s">
        <v>444</v>
      </c>
      <c r="E16" s="81" t="s">
        <v>445</v>
      </c>
      <c r="F16" s="81" t="s">
        <v>965</v>
      </c>
      <c r="G16" s="181">
        <f t="shared" si="0"/>
        <v>32.6</v>
      </c>
      <c r="H16" s="58"/>
      <c r="I16" s="58">
        <v>4.88</v>
      </c>
      <c r="J16" s="58">
        <v>3.12</v>
      </c>
      <c r="K16" s="58">
        <v>4.12</v>
      </c>
      <c r="L16" s="58"/>
      <c r="M16" s="58">
        <v>6.68</v>
      </c>
      <c r="N16" s="58">
        <v>7.44</v>
      </c>
      <c r="O16" s="58">
        <v>3.28</v>
      </c>
      <c r="P16" s="58">
        <v>3.08</v>
      </c>
      <c r="Q16" s="58"/>
    </row>
    <row r="17" spans="1:17" ht="47.25" x14ac:dyDescent="0.25">
      <c r="A17" s="58" t="s">
        <v>714</v>
      </c>
      <c r="B17" s="95" t="s">
        <v>629</v>
      </c>
      <c r="C17" s="95">
        <v>38</v>
      </c>
      <c r="D17" s="81" t="s">
        <v>444</v>
      </c>
      <c r="E17" s="81" t="s">
        <v>445</v>
      </c>
      <c r="F17" s="81" t="s">
        <v>966</v>
      </c>
      <c r="G17" s="181">
        <f t="shared" si="0"/>
        <v>17.234999999999999</v>
      </c>
      <c r="H17" s="58"/>
      <c r="I17" s="58">
        <v>4.2750000000000004</v>
      </c>
      <c r="J17" s="58">
        <v>3.375</v>
      </c>
      <c r="K17" s="58">
        <v>2.61</v>
      </c>
      <c r="L17" s="58"/>
      <c r="M17" s="58">
        <v>1.575</v>
      </c>
      <c r="N17" s="58">
        <v>2.88</v>
      </c>
      <c r="O17" s="58">
        <v>1.44</v>
      </c>
      <c r="P17" s="58">
        <v>1.08</v>
      </c>
      <c r="Q17" s="58"/>
    </row>
    <row r="18" spans="1:17" ht="32.25" customHeight="1" x14ac:dyDescent="0.25">
      <c r="A18" s="58" t="s">
        <v>714</v>
      </c>
      <c r="B18" s="95" t="s">
        <v>629</v>
      </c>
      <c r="C18" s="95">
        <v>39</v>
      </c>
      <c r="D18" s="81" t="s">
        <v>446</v>
      </c>
      <c r="E18" s="16" t="s">
        <v>445</v>
      </c>
      <c r="F18" s="81" t="s">
        <v>323</v>
      </c>
      <c r="G18" s="181">
        <f t="shared" si="0"/>
        <v>2.6999999999999997</v>
      </c>
      <c r="H18" s="58"/>
      <c r="I18" s="58"/>
      <c r="J18" s="58">
        <v>0.6</v>
      </c>
      <c r="K18" s="58">
        <v>0.6</v>
      </c>
      <c r="L18" s="58"/>
      <c r="M18" s="58">
        <v>0.3</v>
      </c>
      <c r="N18" s="58">
        <v>0.6</v>
      </c>
      <c r="O18" s="58">
        <v>0.3</v>
      </c>
      <c r="P18" s="58">
        <v>0.3</v>
      </c>
      <c r="Q18" s="58"/>
    </row>
    <row r="19" spans="1:17" ht="32.25" customHeight="1" x14ac:dyDescent="0.25">
      <c r="A19" s="58" t="s">
        <v>714</v>
      </c>
      <c r="B19" s="95" t="s">
        <v>629</v>
      </c>
      <c r="C19" s="95">
        <v>39</v>
      </c>
      <c r="D19" s="81" t="s">
        <v>446</v>
      </c>
      <c r="E19" s="16" t="s">
        <v>445</v>
      </c>
      <c r="F19" s="81" t="s">
        <v>324</v>
      </c>
      <c r="G19" s="181">
        <f t="shared" si="0"/>
        <v>0.7</v>
      </c>
      <c r="H19" s="58">
        <v>0.7</v>
      </c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32.25" customHeight="1" x14ac:dyDescent="0.25">
      <c r="A20" s="58" t="s">
        <v>714</v>
      </c>
      <c r="B20" s="95" t="s">
        <v>629</v>
      </c>
      <c r="C20" s="95">
        <v>39</v>
      </c>
      <c r="D20" s="81" t="s">
        <v>446</v>
      </c>
      <c r="E20" s="16" t="s">
        <v>400</v>
      </c>
      <c r="F20" s="81" t="s">
        <v>631</v>
      </c>
      <c r="G20" s="181">
        <f t="shared" si="0"/>
        <v>22.661999999999999</v>
      </c>
      <c r="H20" s="58"/>
      <c r="I20" s="58"/>
      <c r="J20" s="58">
        <v>11.004</v>
      </c>
      <c r="K20" s="58">
        <v>5.1079999999999997</v>
      </c>
      <c r="L20" s="58"/>
      <c r="M20" s="58"/>
      <c r="N20" s="58">
        <v>6.55</v>
      </c>
      <c r="O20" s="58"/>
      <c r="P20" s="58"/>
      <c r="Q20" s="58"/>
    </row>
    <row r="21" spans="1:17" ht="32.25" customHeight="1" x14ac:dyDescent="0.25">
      <c r="A21" s="58" t="s">
        <v>714</v>
      </c>
      <c r="B21" s="95" t="s">
        <v>629</v>
      </c>
      <c r="C21" s="95">
        <v>39</v>
      </c>
      <c r="D21" s="81" t="s">
        <v>446</v>
      </c>
      <c r="E21" s="16" t="s">
        <v>400</v>
      </c>
      <c r="F21" s="81" t="s">
        <v>826</v>
      </c>
      <c r="G21" s="181">
        <f t="shared" si="0"/>
        <v>25.024000000000001</v>
      </c>
      <c r="H21" s="58"/>
      <c r="I21" s="58"/>
      <c r="J21" s="58"/>
      <c r="K21" s="58">
        <v>2.88</v>
      </c>
      <c r="L21" s="58"/>
      <c r="M21" s="58">
        <v>8.7759999999999998</v>
      </c>
      <c r="N21" s="58">
        <v>5.8959999999999999</v>
      </c>
      <c r="O21" s="58">
        <v>2.2280000000000002</v>
      </c>
      <c r="P21" s="58">
        <v>5.2439999999999998</v>
      </c>
      <c r="Q21" s="58"/>
    </row>
    <row r="22" spans="1:17" ht="32.25" customHeight="1" x14ac:dyDescent="0.25">
      <c r="A22" s="58" t="s">
        <v>714</v>
      </c>
      <c r="B22" s="95" t="s">
        <v>629</v>
      </c>
      <c r="C22" s="95">
        <v>39</v>
      </c>
      <c r="D22" s="81" t="s">
        <v>446</v>
      </c>
      <c r="E22" s="16" t="s">
        <v>445</v>
      </c>
      <c r="F22" s="81" t="s">
        <v>716</v>
      </c>
      <c r="G22" s="181">
        <f t="shared" si="0"/>
        <v>6.75</v>
      </c>
      <c r="H22" s="58"/>
      <c r="I22" s="58"/>
      <c r="J22" s="58">
        <v>1.5</v>
      </c>
      <c r="K22" s="58">
        <v>1.5</v>
      </c>
      <c r="L22" s="58"/>
      <c r="M22" s="58">
        <v>0.75</v>
      </c>
      <c r="N22" s="58">
        <v>1.5</v>
      </c>
      <c r="O22" s="58">
        <v>0.75</v>
      </c>
      <c r="P22" s="58">
        <v>0.75</v>
      </c>
      <c r="Q22" s="58"/>
    </row>
    <row r="23" spans="1:17" ht="32.25" customHeight="1" x14ac:dyDescent="0.25">
      <c r="A23" s="58" t="s">
        <v>714</v>
      </c>
      <c r="B23" s="95" t="s">
        <v>629</v>
      </c>
      <c r="C23" s="95">
        <v>39</v>
      </c>
      <c r="D23" s="81" t="s">
        <v>446</v>
      </c>
      <c r="E23" s="16" t="s">
        <v>371</v>
      </c>
      <c r="F23" s="81" t="s">
        <v>717</v>
      </c>
      <c r="G23" s="181">
        <f t="shared" si="0"/>
        <v>15</v>
      </c>
      <c r="H23" s="58">
        <v>15</v>
      </c>
      <c r="I23" s="58"/>
      <c r="J23" s="58"/>
      <c r="K23" s="58"/>
      <c r="L23" s="58"/>
      <c r="M23" s="58"/>
      <c r="N23" s="58"/>
      <c r="O23" s="58"/>
      <c r="P23" s="58"/>
      <c r="Q23" s="58"/>
    </row>
    <row r="24" spans="1:17" ht="32.25" customHeight="1" x14ac:dyDescent="0.25">
      <c r="A24" s="58" t="s">
        <v>714</v>
      </c>
      <c r="B24" s="95" t="s">
        <v>629</v>
      </c>
      <c r="C24" s="95">
        <v>39</v>
      </c>
      <c r="D24" s="81" t="s">
        <v>446</v>
      </c>
      <c r="E24" s="16" t="s">
        <v>371</v>
      </c>
      <c r="F24" s="81" t="s">
        <v>830</v>
      </c>
      <c r="G24" s="181">
        <f t="shared" si="0"/>
        <v>1.87</v>
      </c>
      <c r="H24" s="58"/>
      <c r="I24" s="58"/>
      <c r="J24" s="58">
        <v>0.84</v>
      </c>
      <c r="K24" s="58">
        <v>0.44</v>
      </c>
      <c r="L24" s="58"/>
      <c r="M24" s="58"/>
      <c r="N24" s="58">
        <v>0.59</v>
      </c>
      <c r="O24" s="58"/>
      <c r="P24" s="58"/>
      <c r="Q24" s="58"/>
    </row>
    <row r="25" spans="1:17" ht="32.25" customHeight="1" x14ac:dyDescent="0.25">
      <c r="A25" s="58" t="s">
        <v>714</v>
      </c>
      <c r="B25" s="95" t="s">
        <v>629</v>
      </c>
      <c r="C25" s="95">
        <v>39</v>
      </c>
      <c r="D25" s="81" t="s">
        <v>446</v>
      </c>
      <c r="E25" s="16" t="s">
        <v>401</v>
      </c>
      <c r="F25" s="81" t="s">
        <v>792</v>
      </c>
      <c r="G25" s="181">
        <f t="shared" si="0"/>
        <v>9</v>
      </c>
      <c r="H25" s="58">
        <v>9</v>
      </c>
      <c r="I25" s="58"/>
      <c r="J25" s="58"/>
      <c r="K25" s="58"/>
      <c r="L25" s="58"/>
      <c r="M25" s="58"/>
      <c r="N25" s="58"/>
      <c r="O25" s="58"/>
      <c r="P25" s="58"/>
      <c r="Q25" s="58"/>
    </row>
    <row r="26" spans="1:17" ht="32.25" customHeight="1" x14ac:dyDescent="0.25">
      <c r="A26" s="58" t="s">
        <v>715</v>
      </c>
      <c r="B26" s="95" t="s">
        <v>630</v>
      </c>
      <c r="C26" s="95">
        <v>53</v>
      </c>
      <c r="D26" s="81" t="s">
        <v>392</v>
      </c>
      <c r="E26" s="16" t="s">
        <v>118</v>
      </c>
      <c r="F26" s="81" t="s">
        <v>443</v>
      </c>
      <c r="G26" s="181">
        <f t="shared" si="0"/>
        <v>15.64</v>
      </c>
      <c r="H26" s="58">
        <v>15.64</v>
      </c>
      <c r="I26" s="58"/>
      <c r="J26" s="58"/>
      <c r="K26" s="58"/>
      <c r="L26" s="58"/>
      <c r="M26" s="58"/>
      <c r="N26" s="58"/>
      <c r="O26" s="58"/>
      <c r="P26" s="58"/>
      <c r="Q26" s="58"/>
    </row>
    <row r="27" spans="1:17" ht="25.5" customHeight="1" x14ac:dyDescent="0.25">
      <c r="A27" s="91"/>
      <c r="B27" s="91"/>
      <c r="C27" s="91"/>
      <c r="D27" s="91"/>
      <c r="E27" s="92"/>
      <c r="F27" s="41" t="s">
        <v>447</v>
      </c>
      <c r="G27" s="41">
        <f t="shared" ref="G27:Q27" si="1">SUM(G4:G26)</f>
        <v>230.48500000000001</v>
      </c>
      <c r="H27" s="41">
        <f t="shared" si="1"/>
        <v>79.84</v>
      </c>
      <c r="I27" s="41">
        <f t="shared" si="1"/>
        <v>20.092999999999996</v>
      </c>
      <c r="J27" s="41">
        <f t="shared" si="1"/>
        <v>27.570999999999998</v>
      </c>
      <c r="K27" s="41">
        <f t="shared" si="1"/>
        <v>22.921999999999997</v>
      </c>
      <c r="L27" s="41">
        <f t="shared" si="1"/>
        <v>0</v>
      </c>
      <c r="M27" s="41">
        <f t="shared" si="1"/>
        <v>23.497</v>
      </c>
      <c r="N27" s="41">
        <f t="shared" si="1"/>
        <v>31.964000000000002</v>
      </c>
      <c r="O27" s="41">
        <f t="shared" si="1"/>
        <v>11.436</v>
      </c>
      <c r="P27" s="41">
        <f t="shared" si="1"/>
        <v>13.161999999999999</v>
      </c>
      <c r="Q27" s="41">
        <f t="shared" si="1"/>
        <v>0</v>
      </c>
    </row>
  </sheetData>
  <autoFilter ref="A3:M27" xr:uid="{7807E6AF-390E-4A0A-94DA-0685CEEF26CA}">
    <sortState xmlns:xlrd2="http://schemas.microsoft.com/office/spreadsheetml/2017/richdata2" ref="A4:M27">
      <sortCondition ref="C3:C27"/>
    </sortState>
  </autoFilter>
  <mergeCells count="1">
    <mergeCell ref="A1:G1"/>
  </mergeCells>
  <pageMargins left="0.7" right="0.7" top="0.75" bottom="0.75" header="0.3" footer="0.3"/>
  <pageSetup paperSize="5" scale="53" fitToHeight="3" orientation="landscape" horizontalDpi="4294967292" r:id="rId1"/>
  <colBreaks count="1" manualBreakCount="1">
    <brk id="6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F2EE-5C17-4624-82AF-D6C69020783B}">
  <sheetPr>
    <tabColor rgb="FFFF0000"/>
    <pageSetUpPr fitToPage="1"/>
  </sheetPr>
  <dimension ref="A1:V53"/>
  <sheetViews>
    <sheetView view="pageBreakPreview" topLeftCell="A13" zoomScale="85" zoomScaleSheetLayoutView="85" workbookViewId="0">
      <selection activeCell="G22" sqref="G22"/>
    </sheetView>
  </sheetViews>
  <sheetFormatPr defaultColWidth="9.140625" defaultRowHeight="15" x14ac:dyDescent="0.25"/>
  <cols>
    <col min="1" max="1" width="10.85546875" style="27" customWidth="1"/>
    <col min="2" max="2" width="11.28515625" style="27" bestFit="1" customWidth="1"/>
    <col min="3" max="3" width="7.42578125" style="27" customWidth="1"/>
    <col min="4" max="4" width="39" style="28" customWidth="1"/>
    <col min="5" max="5" width="36.42578125" style="23" customWidth="1"/>
    <col min="6" max="6" width="68.7109375" style="35" bestFit="1" customWidth="1"/>
    <col min="7" max="7" width="12.140625" style="26" customWidth="1"/>
    <col min="8" max="17" width="12.140625" style="33" customWidth="1"/>
    <col min="18" max="19" width="12.140625" style="22" customWidth="1"/>
    <col min="20" max="20" width="6.7109375" style="22" customWidth="1"/>
    <col min="21" max="21" width="9.140625" style="22"/>
    <col min="22" max="16384" width="9.140625" style="23"/>
  </cols>
  <sheetData>
    <row r="1" spans="1:22" ht="24" customHeight="1" x14ac:dyDescent="0.25">
      <c r="A1" s="338" t="s">
        <v>848</v>
      </c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32"/>
      <c r="T1" s="20"/>
      <c r="U1" s="21"/>
      <c r="V1" s="22"/>
    </row>
    <row r="2" spans="1:22" s="21" customFormat="1" ht="29.25" customHeight="1" x14ac:dyDescent="0.25">
      <c r="A2" s="14" t="s">
        <v>705</v>
      </c>
      <c r="B2" s="14" t="s">
        <v>18</v>
      </c>
      <c r="C2" s="14" t="s">
        <v>17</v>
      </c>
      <c r="D2" s="14" t="s">
        <v>486</v>
      </c>
      <c r="E2" s="14" t="s">
        <v>487</v>
      </c>
      <c r="F2" s="14" t="s">
        <v>988</v>
      </c>
      <c r="G2" s="29" t="s">
        <v>836</v>
      </c>
      <c r="H2" s="29" t="s">
        <v>3</v>
      </c>
      <c r="I2" s="29" t="s">
        <v>4</v>
      </c>
      <c r="J2" s="29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T2" s="26"/>
      <c r="U2" s="26"/>
    </row>
    <row r="3" spans="1:22" s="21" customFormat="1" x14ac:dyDescent="0.25">
      <c r="A3" s="14"/>
      <c r="B3" s="14"/>
      <c r="C3" s="14"/>
      <c r="D3" s="14"/>
      <c r="E3" s="14"/>
      <c r="F3" s="178"/>
      <c r="G3" s="29"/>
      <c r="H3" s="29"/>
      <c r="I3" s="29"/>
      <c r="J3" s="29"/>
      <c r="K3" s="25"/>
      <c r="L3" s="25"/>
      <c r="M3" s="25"/>
      <c r="N3" s="25"/>
      <c r="O3" s="25"/>
      <c r="P3" s="25"/>
      <c r="Q3" s="25"/>
      <c r="T3" s="26"/>
      <c r="U3" s="26"/>
    </row>
    <row r="4" spans="1:22" s="21" customFormat="1" ht="30.75" customHeight="1" x14ac:dyDescent="0.25">
      <c r="A4" s="7" t="s">
        <v>719</v>
      </c>
      <c r="B4" s="7" t="s">
        <v>434</v>
      </c>
      <c r="C4" s="7">
        <v>21</v>
      </c>
      <c r="D4" s="11" t="s">
        <v>448</v>
      </c>
      <c r="E4" s="11" t="s">
        <v>400</v>
      </c>
      <c r="F4" s="10" t="s">
        <v>825</v>
      </c>
      <c r="G4" s="231">
        <f t="shared" ref="G4:G22" si="0">SUM(H4:Q4)</f>
        <v>5.49</v>
      </c>
      <c r="H4" s="3">
        <v>5.49</v>
      </c>
      <c r="I4" s="3"/>
      <c r="J4" s="3"/>
      <c r="K4" s="3"/>
      <c r="L4" s="3"/>
      <c r="M4" s="3"/>
      <c r="N4" s="3"/>
      <c r="O4" s="3"/>
      <c r="P4" s="3"/>
      <c r="Q4" s="3"/>
      <c r="R4" s="26"/>
      <c r="S4" s="26"/>
    </row>
    <row r="5" spans="1:22" s="21" customFormat="1" ht="30.75" customHeight="1" x14ac:dyDescent="0.25">
      <c r="A5" s="7" t="s">
        <v>719</v>
      </c>
      <c r="B5" s="7" t="s">
        <v>434</v>
      </c>
      <c r="C5" s="7">
        <v>21</v>
      </c>
      <c r="D5" s="11" t="s">
        <v>448</v>
      </c>
      <c r="E5" s="11" t="s">
        <v>400</v>
      </c>
      <c r="F5" s="10" t="s">
        <v>994</v>
      </c>
      <c r="G5" s="231">
        <f t="shared" si="0"/>
        <v>1.28</v>
      </c>
      <c r="H5" s="3">
        <v>1.28</v>
      </c>
      <c r="I5" s="3"/>
      <c r="J5" s="3"/>
      <c r="K5" s="3"/>
      <c r="L5" s="3"/>
      <c r="M5" s="3"/>
      <c r="N5" s="3"/>
      <c r="O5" s="3"/>
      <c r="P5" s="3"/>
      <c r="Q5" s="3"/>
      <c r="R5" s="26"/>
      <c r="S5" s="26"/>
    </row>
    <row r="6" spans="1:22" ht="30.75" customHeight="1" x14ac:dyDescent="0.25">
      <c r="A6" s="7" t="s">
        <v>719</v>
      </c>
      <c r="B6" s="7" t="s">
        <v>434</v>
      </c>
      <c r="C6" s="7">
        <v>21</v>
      </c>
      <c r="D6" s="11" t="s">
        <v>448</v>
      </c>
      <c r="E6" s="11" t="s">
        <v>401</v>
      </c>
      <c r="F6" s="10" t="s">
        <v>263</v>
      </c>
      <c r="G6" s="231">
        <f t="shared" si="0"/>
        <v>4.5199999999999996</v>
      </c>
      <c r="H6" s="3">
        <v>4.5199999999999996</v>
      </c>
      <c r="I6" s="3"/>
      <c r="J6" s="3"/>
      <c r="K6" s="3"/>
      <c r="L6" s="3"/>
      <c r="M6" s="3"/>
      <c r="N6" s="3"/>
      <c r="O6" s="3"/>
      <c r="P6" s="3"/>
      <c r="Q6" s="3"/>
      <c r="T6" s="23"/>
      <c r="U6" s="23"/>
    </row>
    <row r="7" spans="1:22" ht="30.75" customHeight="1" x14ac:dyDescent="0.25">
      <c r="A7" s="7" t="s">
        <v>719</v>
      </c>
      <c r="B7" s="7" t="s">
        <v>434</v>
      </c>
      <c r="C7" s="7">
        <v>21</v>
      </c>
      <c r="D7" s="11" t="s">
        <v>448</v>
      </c>
      <c r="E7" s="11" t="s">
        <v>371</v>
      </c>
      <c r="F7" s="10" t="s">
        <v>451</v>
      </c>
      <c r="G7" s="231">
        <f t="shared" si="0"/>
        <v>115.12</v>
      </c>
      <c r="H7" s="3"/>
      <c r="I7" s="3">
        <v>16.8</v>
      </c>
      <c r="J7" s="3">
        <v>11.52</v>
      </c>
      <c r="K7" s="3">
        <v>14.4</v>
      </c>
      <c r="L7" s="3">
        <v>8.4</v>
      </c>
      <c r="M7" s="3">
        <v>11.1</v>
      </c>
      <c r="N7" s="3">
        <v>17.5</v>
      </c>
      <c r="O7" s="3">
        <v>16.2</v>
      </c>
      <c r="P7" s="3">
        <v>10.8</v>
      </c>
      <c r="Q7" s="3">
        <v>8.4</v>
      </c>
      <c r="T7" s="23"/>
      <c r="U7" s="23"/>
    </row>
    <row r="8" spans="1:22" ht="30.75" customHeight="1" x14ac:dyDescent="0.25">
      <c r="A8" s="7" t="s">
        <v>719</v>
      </c>
      <c r="B8" s="7" t="s">
        <v>434</v>
      </c>
      <c r="C8" s="7">
        <v>21</v>
      </c>
      <c r="D8" s="11" t="s">
        <v>448</v>
      </c>
      <c r="E8" s="11" t="s">
        <v>371</v>
      </c>
      <c r="F8" s="10" t="s">
        <v>452</v>
      </c>
      <c r="G8" s="231">
        <f t="shared" si="0"/>
        <v>33.64</v>
      </c>
      <c r="H8" s="3"/>
      <c r="I8" s="3">
        <v>6.64</v>
      </c>
      <c r="J8" s="3">
        <v>0.7</v>
      </c>
      <c r="K8" s="3">
        <v>3.74</v>
      </c>
      <c r="L8" s="3">
        <v>3.38</v>
      </c>
      <c r="M8" s="3">
        <v>3.03</v>
      </c>
      <c r="N8" s="3">
        <v>4.8099999999999996</v>
      </c>
      <c r="O8" s="3">
        <v>5.5</v>
      </c>
      <c r="P8" s="3">
        <v>3.49</v>
      </c>
      <c r="Q8" s="3">
        <v>2.35</v>
      </c>
      <c r="T8" s="23"/>
      <c r="U8" s="23"/>
    </row>
    <row r="9" spans="1:22" ht="30.75" customHeight="1" x14ac:dyDescent="0.25">
      <c r="A9" s="7" t="s">
        <v>719</v>
      </c>
      <c r="B9" s="7" t="s">
        <v>434</v>
      </c>
      <c r="C9" s="7">
        <v>22</v>
      </c>
      <c r="D9" s="11" t="s">
        <v>677</v>
      </c>
      <c r="E9" s="11" t="s">
        <v>371</v>
      </c>
      <c r="F9" s="10" t="s">
        <v>457</v>
      </c>
      <c r="G9" s="231">
        <f t="shared" si="0"/>
        <v>1.9999999999999996</v>
      </c>
      <c r="H9" s="3">
        <v>0.38</v>
      </c>
      <c r="I9" s="3">
        <v>0.18</v>
      </c>
      <c r="J9" s="3">
        <v>0.18</v>
      </c>
      <c r="K9" s="3">
        <v>0.18</v>
      </c>
      <c r="L9" s="3">
        <v>0.18</v>
      </c>
      <c r="M9" s="3">
        <v>0.18</v>
      </c>
      <c r="N9" s="3">
        <v>0.18</v>
      </c>
      <c r="O9" s="3">
        <v>0.18</v>
      </c>
      <c r="P9" s="3">
        <v>0.18</v>
      </c>
      <c r="Q9" s="3">
        <v>0.18</v>
      </c>
      <c r="T9" s="23"/>
      <c r="U9" s="23"/>
    </row>
    <row r="10" spans="1:22" ht="30.75" customHeight="1" x14ac:dyDescent="0.25">
      <c r="A10" s="7" t="s">
        <v>719</v>
      </c>
      <c r="B10" s="7" t="s">
        <v>434</v>
      </c>
      <c r="C10" s="7">
        <v>22</v>
      </c>
      <c r="D10" s="11" t="s">
        <v>677</v>
      </c>
      <c r="E10" s="11" t="s">
        <v>371</v>
      </c>
      <c r="F10" s="10" t="s">
        <v>449</v>
      </c>
      <c r="G10" s="231">
        <f t="shared" si="0"/>
        <v>44.95</v>
      </c>
      <c r="H10" s="281">
        <v>44.95</v>
      </c>
      <c r="I10" s="3"/>
      <c r="J10" s="3"/>
      <c r="K10" s="3"/>
      <c r="L10" s="3"/>
      <c r="M10" s="3"/>
      <c r="N10" s="3"/>
      <c r="O10" s="3"/>
      <c r="P10" s="3"/>
      <c r="Q10" s="3"/>
      <c r="T10" s="23"/>
      <c r="U10" s="23"/>
    </row>
    <row r="11" spans="1:22" ht="30.75" customHeight="1" x14ac:dyDescent="0.25">
      <c r="A11" s="7" t="s">
        <v>719</v>
      </c>
      <c r="B11" s="7" t="s">
        <v>434</v>
      </c>
      <c r="C11" s="7">
        <v>22</v>
      </c>
      <c r="D11" s="11" t="s">
        <v>677</v>
      </c>
      <c r="E11" s="11" t="s">
        <v>372</v>
      </c>
      <c r="F11" s="10" t="s">
        <v>453</v>
      </c>
      <c r="G11" s="231">
        <f t="shared" si="0"/>
        <v>1.3</v>
      </c>
      <c r="H11" s="3">
        <v>1.3</v>
      </c>
      <c r="I11" s="3"/>
      <c r="J11" s="3"/>
      <c r="K11" s="3"/>
      <c r="L11" s="3"/>
      <c r="M11" s="3"/>
      <c r="N11" s="3"/>
      <c r="O11" s="3"/>
      <c r="P11" s="3"/>
      <c r="Q11" s="3"/>
      <c r="T11" s="23"/>
      <c r="U11" s="23"/>
    </row>
    <row r="12" spans="1:22" ht="30.75" customHeight="1" x14ac:dyDescent="0.25">
      <c r="A12" s="7" t="s">
        <v>719</v>
      </c>
      <c r="B12" s="7" t="s">
        <v>434</v>
      </c>
      <c r="C12" s="7">
        <v>22</v>
      </c>
      <c r="D12" s="11" t="s">
        <v>677</v>
      </c>
      <c r="E12" s="11" t="s">
        <v>397</v>
      </c>
      <c r="F12" s="10" t="s">
        <v>454</v>
      </c>
      <c r="G12" s="231">
        <f t="shared" si="0"/>
        <v>3.86</v>
      </c>
      <c r="H12" s="3">
        <v>3.86</v>
      </c>
      <c r="I12" s="3"/>
      <c r="J12" s="3"/>
      <c r="K12" s="3"/>
      <c r="L12" s="3"/>
      <c r="M12" s="3"/>
      <c r="N12" s="3"/>
      <c r="O12" s="3"/>
      <c r="P12" s="3"/>
      <c r="Q12" s="3"/>
      <c r="T12" s="23"/>
      <c r="U12" s="23"/>
    </row>
    <row r="13" spans="1:22" ht="30.75" customHeight="1" x14ac:dyDescent="0.25">
      <c r="A13" s="7" t="s">
        <v>719</v>
      </c>
      <c r="B13" s="7" t="s">
        <v>434</v>
      </c>
      <c r="C13" s="7">
        <v>22</v>
      </c>
      <c r="D13" s="11" t="s">
        <v>677</v>
      </c>
      <c r="E13" s="11" t="s">
        <v>401</v>
      </c>
      <c r="F13" s="10" t="s">
        <v>455</v>
      </c>
      <c r="G13" s="231">
        <f t="shared" si="0"/>
        <v>1</v>
      </c>
      <c r="H13" s="281">
        <v>1</v>
      </c>
      <c r="I13" s="3"/>
      <c r="J13" s="3"/>
      <c r="K13" s="3"/>
      <c r="L13" s="3"/>
      <c r="M13" s="3"/>
      <c r="N13" s="3"/>
      <c r="O13" s="3"/>
      <c r="P13" s="3"/>
      <c r="Q13" s="3"/>
      <c r="T13" s="23"/>
      <c r="U13" s="23"/>
    </row>
    <row r="14" spans="1:22" ht="30.75" customHeight="1" x14ac:dyDescent="0.25">
      <c r="A14" s="7" t="s">
        <v>719</v>
      </c>
      <c r="B14" s="7" t="s">
        <v>434</v>
      </c>
      <c r="C14" s="7">
        <v>22</v>
      </c>
      <c r="D14" s="11" t="s">
        <v>677</v>
      </c>
      <c r="E14" s="11" t="s">
        <v>371</v>
      </c>
      <c r="F14" s="10" t="s">
        <v>638</v>
      </c>
      <c r="G14" s="231">
        <f t="shared" si="0"/>
        <v>4.08</v>
      </c>
      <c r="H14" s="3"/>
      <c r="I14" s="3">
        <v>0.36</v>
      </c>
      <c r="J14" s="3">
        <v>0.78</v>
      </c>
      <c r="K14" s="3">
        <v>0.36</v>
      </c>
      <c r="L14" s="3">
        <v>0.36</v>
      </c>
      <c r="M14" s="3">
        <v>0.36</v>
      </c>
      <c r="N14" s="3">
        <v>0.78</v>
      </c>
      <c r="O14" s="3">
        <v>0.36</v>
      </c>
      <c r="P14" s="3">
        <v>0.36</v>
      </c>
      <c r="Q14" s="3">
        <v>0.36</v>
      </c>
      <c r="T14" s="23"/>
      <c r="U14" s="23"/>
    </row>
    <row r="15" spans="1:22" ht="30.75" customHeight="1" x14ac:dyDescent="0.25">
      <c r="A15" s="7" t="s">
        <v>719</v>
      </c>
      <c r="B15" s="7" t="s">
        <v>434</v>
      </c>
      <c r="C15" s="7">
        <v>22</v>
      </c>
      <c r="D15" s="11" t="s">
        <v>677</v>
      </c>
      <c r="E15" s="11" t="s">
        <v>371</v>
      </c>
      <c r="F15" s="10" t="s">
        <v>456</v>
      </c>
      <c r="G15" s="231">
        <f t="shared" si="0"/>
        <v>1</v>
      </c>
      <c r="H15" s="3">
        <v>1</v>
      </c>
      <c r="I15" s="3"/>
      <c r="J15" s="3"/>
      <c r="K15" s="3"/>
      <c r="L15" s="3"/>
      <c r="M15" s="3"/>
      <c r="N15" s="3"/>
      <c r="O15" s="3"/>
      <c r="P15" s="3"/>
      <c r="Q15" s="3"/>
      <c r="T15" s="23"/>
      <c r="U15" s="23"/>
    </row>
    <row r="16" spans="1:22" ht="30.75" customHeight="1" x14ac:dyDescent="0.25">
      <c r="A16" s="7" t="s">
        <v>720</v>
      </c>
      <c r="B16" s="7" t="s">
        <v>630</v>
      </c>
      <c r="C16" s="7">
        <v>52</v>
      </c>
      <c r="D16" s="11" t="s">
        <v>458</v>
      </c>
      <c r="E16" s="11" t="s">
        <v>398</v>
      </c>
      <c r="F16" s="10" t="s">
        <v>459</v>
      </c>
      <c r="G16" s="231">
        <f t="shared" si="0"/>
        <v>19.64</v>
      </c>
      <c r="H16" s="3"/>
      <c r="I16" s="3">
        <v>3.04</v>
      </c>
      <c r="J16" s="158">
        <v>1.95</v>
      </c>
      <c r="K16" s="3">
        <v>2.37</v>
      </c>
      <c r="L16" s="158">
        <v>1.56</v>
      </c>
      <c r="M16" s="3">
        <v>3</v>
      </c>
      <c r="N16" s="3">
        <v>3.7</v>
      </c>
      <c r="O16" s="3">
        <v>1.47</v>
      </c>
      <c r="P16" s="3">
        <v>1.38</v>
      </c>
      <c r="Q16" s="3">
        <v>1.17</v>
      </c>
      <c r="T16" s="23"/>
      <c r="U16" s="23"/>
    </row>
    <row r="17" spans="1:21" ht="30.75" customHeight="1" x14ac:dyDescent="0.25">
      <c r="A17" s="7" t="s">
        <v>720</v>
      </c>
      <c r="B17" s="7" t="s">
        <v>630</v>
      </c>
      <c r="C17" s="7">
        <v>52</v>
      </c>
      <c r="D17" s="11" t="s">
        <v>458</v>
      </c>
      <c r="E17" s="11" t="s">
        <v>372</v>
      </c>
      <c r="F17" s="10" t="s">
        <v>460</v>
      </c>
      <c r="G17" s="231">
        <f t="shared" si="0"/>
        <v>9.9</v>
      </c>
      <c r="H17" s="3">
        <v>9.9</v>
      </c>
      <c r="I17" s="3"/>
      <c r="J17" s="3"/>
      <c r="K17" s="3"/>
      <c r="L17" s="3"/>
      <c r="M17" s="3"/>
      <c r="N17" s="3"/>
      <c r="O17" s="3"/>
      <c r="P17" s="3"/>
      <c r="Q17" s="3"/>
      <c r="T17" s="23"/>
      <c r="U17" s="23"/>
    </row>
    <row r="18" spans="1:21" ht="30.75" customHeight="1" x14ac:dyDescent="0.25">
      <c r="A18" s="7" t="s">
        <v>720</v>
      </c>
      <c r="B18" s="7" t="s">
        <v>630</v>
      </c>
      <c r="C18" s="7">
        <v>52</v>
      </c>
      <c r="D18" s="11" t="s">
        <v>458</v>
      </c>
      <c r="E18" s="11" t="s">
        <v>372</v>
      </c>
      <c r="F18" s="10" t="s">
        <v>995</v>
      </c>
      <c r="G18" s="231">
        <f t="shared" si="0"/>
        <v>2</v>
      </c>
      <c r="H18" s="3">
        <v>2</v>
      </c>
      <c r="I18" s="3"/>
      <c r="J18" s="3"/>
      <c r="K18" s="3"/>
      <c r="L18" s="3"/>
      <c r="M18" s="3"/>
      <c r="N18" s="3"/>
      <c r="O18" s="3"/>
      <c r="P18" s="3"/>
      <c r="Q18" s="3"/>
      <c r="T18" s="23"/>
      <c r="U18" s="23"/>
    </row>
    <row r="19" spans="1:21" ht="30.75" customHeight="1" x14ac:dyDescent="0.25">
      <c r="A19" s="7" t="s">
        <v>720</v>
      </c>
      <c r="B19" s="7" t="s">
        <v>630</v>
      </c>
      <c r="C19" s="7">
        <v>52</v>
      </c>
      <c r="D19" s="11" t="s">
        <v>458</v>
      </c>
      <c r="E19" s="11" t="s">
        <v>463</v>
      </c>
      <c r="F19" s="10" t="s">
        <v>461</v>
      </c>
      <c r="G19" s="231">
        <f t="shared" si="0"/>
        <v>54.68</v>
      </c>
      <c r="H19" s="3">
        <v>54.68</v>
      </c>
      <c r="I19" s="3"/>
      <c r="J19" s="3"/>
      <c r="K19" s="3"/>
      <c r="L19" s="3"/>
      <c r="M19" s="3"/>
      <c r="N19" s="3"/>
      <c r="O19" s="3"/>
      <c r="P19" s="3"/>
      <c r="Q19" s="3"/>
      <c r="T19" s="23"/>
      <c r="U19" s="23"/>
    </row>
    <row r="20" spans="1:21" ht="30.75" customHeight="1" x14ac:dyDescent="0.25">
      <c r="A20" s="7" t="s">
        <v>720</v>
      </c>
      <c r="B20" s="7" t="s">
        <v>630</v>
      </c>
      <c r="C20" s="7">
        <v>52</v>
      </c>
      <c r="D20" s="11" t="s">
        <v>458</v>
      </c>
      <c r="E20" s="11" t="s">
        <v>401</v>
      </c>
      <c r="F20" s="10" t="s">
        <v>365</v>
      </c>
      <c r="G20" s="231">
        <f t="shared" si="0"/>
        <v>7.61</v>
      </c>
      <c r="H20" s="3">
        <v>7.61</v>
      </c>
      <c r="I20" s="3"/>
      <c r="J20" s="3"/>
      <c r="K20" s="3"/>
      <c r="L20" s="3"/>
      <c r="M20" s="3"/>
      <c r="N20" s="3"/>
      <c r="O20" s="3"/>
      <c r="P20" s="3"/>
      <c r="Q20" s="3"/>
      <c r="T20" s="23"/>
      <c r="U20" s="23"/>
    </row>
    <row r="21" spans="1:21" ht="30.75" customHeight="1" x14ac:dyDescent="0.25">
      <c r="A21" s="7" t="s">
        <v>720</v>
      </c>
      <c r="B21" s="7" t="s">
        <v>630</v>
      </c>
      <c r="C21" s="7">
        <v>52</v>
      </c>
      <c r="D21" s="11" t="s">
        <v>458</v>
      </c>
      <c r="E21" s="11" t="s">
        <v>450</v>
      </c>
      <c r="F21" s="10" t="s">
        <v>462</v>
      </c>
      <c r="G21" s="231">
        <f t="shared" si="0"/>
        <v>3.9700000000000006</v>
      </c>
      <c r="H21" s="3">
        <v>0.54</v>
      </c>
      <c r="I21" s="3">
        <v>0.21</v>
      </c>
      <c r="J21" s="3">
        <v>0.21</v>
      </c>
      <c r="K21" s="3">
        <v>0.43</v>
      </c>
      <c r="L21" s="3">
        <v>0.43</v>
      </c>
      <c r="M21" s="3">
        <v>0.43</v>
      </c>
      <c r="N21" s="3">
        <v>0.43</v>
      </c>
      <c r="O21" s="3">
        <v>0.43</v>
      </c>
      <c r="P21" s="3">
        <v>0.43</v>
      </c>
      <c r="Q21" s="3">
        <v>0.43</v>
      </c>
      <c r="T21" s="23"/>
      <c r="U21" s="23"/>
    </row>
    <row r="22" spans="1:21" ht="30.75" customHeight="1" x14ac:dyDescent="0.25">
      <c r="A22" s="7" t="s">
        <v>720</v>
      </c>
      <c r="B22" s="7" t="s">
        <v>630</v>
      </c>
      <c r="C22" s="7">
        <v>53</v>
      </c>
      <c r="D22" s="11" t="s">
        <v>392</v>
      </c>
      <c r="E22" s="11" t="s">
        <v>463</v>
      </c>
      <c r="F22" s="10" t="s">
        <v>905</v>
      </c>
      <c r="G22" s="231">
        <f t="shared" si="0"/>
        <v>13.17</v>
      </c>
      <c r="H22" s="3">
        <v>13.17</v>
      </c>
      <c r="I22" s="3"/>
      <c r="J22" s="3"/>
      <c r="K22" s="3"/>
      <c r="L22" s="3"/>
      <c r="M22" s="3"/>
      <c r="N22" s="3"/>
      <c r="O22" s="3"/>
      <c r="P22" s="3"/>
      <c r="Q22" s="3"/>
      <c r="T22" s="23"/>
      <c r="U22" s="23"/>
    </row>
    <row r="23" spans="1:21" ht="21" customHeight="1" x14ac:dyDescent="0.25">
      <c r="A23" s="31"/>
      <c r="B23" s="31"/>
      <c r="C23" s="31"/>
      <c r="D23" s="31"/>
      <c r="E23" s="31"/>
      <c r="F23" s="19" t="s">
        <v>20</v>
      </c>
      <c r="G23" s="230">
        <f t="shared" ref="G23:Q23" si="1">SUM(G4:G22)</f>
        <v>329.21000000000009</v>
      </c>
      <c r="H23" s="230">
        <f t="shared" si="1"/>
        <v>151.68</v>
      </c>
      <c r="I23" s="230">
        <f t="shared" si="1"/>
        <v>27.23</v>
      </c>
      <c r="J23" s="230">
        <f t="shared" si="1"/>
        <v>15.339999999999998</v>
      </c>
      <c r="K23" s="230">
        <f t="shared" si="1"/>
        <v>21.48</v>
      </c>
      <c r="L23" s="230">
        <f t="shared" si="1"/>
        <v>14.31</v>
      </c>
      <c r="M23" s="230">
        <f t="shared" si="1"/>
        <v>18.099999999999998</v>
      </c>
      <c r="N23" s="230">
        <f t="shared" si="1"/>
        <v>27.4</v>
      </c>
      <c r="O23" s="230">
        <f t="shared" si="1"/>
        <v>24.139999999999997</v>
      </c>
      <c r="P23" s="230">
        <f t="shared" si="1"/>
        <v>16.64</v>
      </c>
      <c r="Q23" s="230">
        <f t="shared" si="1"/>
        <v>12.889999999999999</v>
      </c>
      <c r="T23" s="23"/>
      <c r="U23" s="23"/>
    </row>
    <row r="45" spans="1:21" s="32" customFormat="1" ht="30" customHeight="1" x14ac:dyDescent="0.25">
      <c r="A45" s="27"/>
      <c r="B45" s="27"/>
      <c r="C45" s="27"/>
      <c r="D45" s="28"/>
      <c r="E45" s="23"/>
      <c r="F45" s="35"/>
      <c r="G45" s="26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22"/>
      <c r="S45" s="22"/>
      <c r="T45" s="30"/>
      <c r="U45" s="30"/>
    </row>
    <row r="46" spans="1:21" ht="24" customHeight="1" x14ac:dyDescent="0.25"/>
    <row r="47" spans="1:21" ht="24" customHeight="1" x14ac:dyDescent="0.25"/>
    <row r="51" spans="1:21" s="32" customFormat="1" ht="30" customHeight="1" x14ac:dyDescent="0.25">
      <c r="A51" s="27"/>
      <c r="B51" s="27"/>
      <c r="C51" s="27"/>
      <c r="D51" s="28"/>
      <c r="E51" s="23"/>
      <c r="F51" s="35"/>
      <c r="G51" s="26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22"/>
      <c r="S51" s="22"/>
      <c r="T51" s="22"/>
      <c r="U51" s="12"/>
    </row>
    <row r="52" spans="1:21" s="27" customFormat="1" x14ac:dyDescent="0.25">
      <c r="D52" s="28"/>
      <c r="E52" s="23"/>
      <c r="F52" s="35"/>
      <c r="G52" s="26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2"/>
      <c r="S52" s="22"/>
      <c r="T52" s="33"/>
      <c r="U52" s="33"/>
    </row>
    <row r="53" spans="1:21" s="27" customFormat="1" x14ac:dyDescent="0.25">
      <c r="D53" s="28"/>
      <c r="E53" s="23"/>
      <c r="F53" s="35"/>
      <c r="G53" s="26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2"/>
      <c r="S53" s="22"/>
      <c r="T53" s="33"/>
      <c r="U53" s="33"/>
    </row>
  </sheetData>
  <autoFilter ref="A3:Q23" xr:uid="{DE83F2EE-5C17-4624-82AF-D6C69020783B}">
    <sortState xmlns:xlrd2="http://schemas.microsoft.com/office/spreadsheetml/2017/richdata2" ref="A4:Q23">
      <sortCondition ref="C3:C23"/>
    </sortState>
  </autoFilter>
  <mergeCells count="1">
    <mergeCell ref="A1:G1"/>
  </mergeCells>
  <pageMargins left="0.7" right="0.7" top="0.75" bottom="0.75" header="0.3" footer="0.3"/>
  <pageSetup paperSize="5" scale="52" fitToHeight="3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97BA-6F15-4C7A-B54A-136AC7F4364B}">
  <sheetPr>
    <tabColor rgb="FFFF0000"/>
    <pageSetUpPr fitToPage="1"/>
  </sheetPr>
  <dimension ref="A1:R37"/>
  <sheetViews>
    <sheetView view="pageBreakPreview" zoomScale="85" zoomScaleNormal="85" zoomScaleSheetLayoutView="85" workbookViewId="0">
      <pane xSplit="6" ySplit="2" topLeftCell="G27" activePane="bottomRight" state="frozen"/>
      <selection pane="topRight"/>
      <selection pane="bottomLeft"/>
      <selection pane="bottomRight" activeCell="F32" sqref="F32"/>
    </sheetView>
  </sheetViews>
  <sheetFormatPr defaultColWidth="9.140625" defaultRowHeight="15" x14ac:dyDescent="0.25"/>
  <cols>
    <col min="1" max="3" width="13.28515625" style="27" customWidth="1"/>
    <col min="4" max="4" width="25.7109375" style="27" customWidth="1"/>
    <col min="5" max="5" width="21.42578125" style="27" customWidth="1"/>
    <col min="6" max="6" width="81.28515625" style="27" customWidth="1"/>
    <col min="7" max="7" width="12.140625" style="26" customWidth="1"/>
    <col min="8" max="17" width="12.140625" style="33" customWidth="1"/>
    <col min="18" max="16384" width="9.140625" style="27"/>
  </cols>
  <sheetData>
    <row r="1" spans="1:17" ht="15.75" customHeight="1" x14ac:dyDescent="0.25">
      <c r="A1" s="339" t="s">
        <v>849</v>
      </c>
      <c r="B1" s="339"/>
      <c r="C1" s="339"/>
      <c r="D1" s="339"/>
      <c r="E1" s="339"/>
      <c r="F1" s="339"/>
      <c r="G1" s="339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21" customFormat="1" ht="31.5" x14ac:dyDescent="0.25">
      <c r="A2" s="40" t="s">
        <v>537</v>
      </c>
      <c r="B2" s="40" t="s">
        <v>488</v>
      </c>
      <c r="C2" s="40" t="s">
        <v>17</v>
      </c>
      <c r="D2" s="40" t="s">
        <v>486</v>
      </c>
      <c r="E2" s="40" t="s">
        <v>506</v>
      </c>
      <c r="F2" s="40" t="s">
        <v>988</v>
      </c>
      <c r="G2" s="41" t="s">
        <v>836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11</v>
      </c>
      <c r="Q2" s="41" t="s">
        <v>12</v>
      </c>
    </row>
    <row r="3" spans="1:17" s="21" customFormat="1" ht="15.75" x14ac:dyDescent="0.25">
      <c r="A3" s="40"/>
      <c r="B3" s="40"/>
      <c r="C3" s="40"/>
      <c r="D3" s="40"/>
      <c r="E3" s="40"/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5.25" customHeight="1" x14ac:dyDescent="0.25">
      <c r="A4" s="7" t="s">
        <v>727</v>
      </c>
      <c r="B4" s="7" t="s">
        <v>21</v>
      </c>
      <c r="C4" s="7">
        <v>32</v>
      </c>
      <c r="D4" s="16" t="s">
        <v>634</v>
      </c>
      <c r="E4" s="165" t="s">
        <v>464</v>
      </c>
      <c r="F4" s="165" t="s">
        <v>174</v>
      </c>
      <c r="G4" s="181">
        <f>SUM(H4:Q4)</f>
        <v>1.08</v>
      </c>
      <c r="H4" s="58">
        <v>0</v>
      </c>
      <c r="I4" s="120">
        <v>0.12</v>
      </c>
      <c r="J4" s="120">
        <v>0.12</v>
      </c>
      <c r="K4" s="120">
        <v>0.12</v>
      </c>
      <c r="L4" s="120">
        <v>0.12</v>
      </c>
      <c r="M4" s="120">
        <v>0.12</v>
      </c>
      <c r="N4" s="120">
        <v>0.12</v>
      </c>
      <c r="O4" s="120">
        <v>0.12</v>
      </c>
      <c r="P4" s="120">
        <v>0.12</v>
      </c>
      <c r="Q4" s="120">
        <v>0.12</v>
      </c>
    </row>
    <row r="5" spans="1:17" ht="35.25" customHeight="1" x14ac:dyDescent="0.25">
      <c r="A5" s="7" t="s">
        <v>727</v>
      </c>
      <c r="B5" s="7" t="s">
        <v>21</v>
      </c>
      <c r="C5" s="7">
        <v>32</v>
      </c>
      <c r="D5" s="16" t="s">
        <v>634</v>
      </c>
      <c r="E5" s="165" t="s">
        <v>371</v>
      </c>
      <c r="F5" s="165" t="s">
        <v>176</v>
      </c>
      <c r="G5" s="181">
        <f t="shared" ref="G5:G36" si="0">SUM(H5:Q5)</f>
        <v>5.0000000000000009</v>
      </c>
      <c r="H5" s="58">
        <v>0</v>
      </c>
      <c r="I5" s="120">
        <v>0.6</v>
      </c>
      <c r="J5" s="120">
        <v>0.8</v>
      </c>
      <c r="K5" s="120">
        <v>0.6</v>
      </c>
      <c r="L5" s="120">
        <v>0.4</v>
      </c>
      <c r="M5" s="120">
        <v>0.6</v>
      </c>
      <c r="N5" s="120">
        <v>0.6</v>
      </c>
      <c r="O5" s="120">
        <v>0.6</v>
      </c>
      <c r="P5" s="120">
        <v>0.4</v>
      </c>
      <c r="Q5" s="120">
        <v>0.4</v>
      </c>
    </row>
    <row r="6" spans="1:17" ht="35.25" customHeight="1" x14ac:dyDescent="0.25">
      <c r="A6" s="7" t="s">
        <v>727</v>
      </c>
      <c r="B6" s="7" t="s">
        <v>21</v>
      </c>
      <c r="C6" s="7">
        <v>32</v>
      </c>
      <c r="D6" s="16" t="s">
        <v>634</v>
      </c>
      <c r="E6" s="165" t="s">
        <v>398</v>
      </c>
      <c r="F6" s="165" t="s">
        <v>177</v>
      </c>
      <c r="G6" s="181">
        <f t="shared" si="0"/>
        <v>30</v>
      </c>
      <c r="H6" s="58">
        <v>0</v>
      </c>
      <c r="I6" s="58">
        <v>4.3</v>
      </c>
      <c r="J6" s="58">
        <v>3.43</v>
      </c>
      <c r="K6" s="58">
        <v>3</v>
      </c>
      <c r="L6" s="58">
        <v>2.85</v>
      </c>
      <c r="M6" s="58">
        <v>3.02</v>
      </c>
      <c r="N6" s="58">
        <v>4.5</v>
      </c>
      <c r="O6" s="58">
        <v>3</v>
      </c>
      <c r="P6" s="58">
        <v>2.81</v>
      </c>
      <c r="Q6" s="58">
        <v>3.09</v>
      </c>
    </row>
    <row r="7" spans="1:17" ht="35.25" customHeight="1" x14ac:dyDescent="0.25">
      <c r="A7" s="7" t="s">
        <v>727</v>
      </c>
      <c r="B7" s="7" t="s">
        <v>21</v>
      </c>
      <c r="C7" s="7">
        <v>32</v>
      </c>
      <c r="D7" s="16" t="s">
        <v>634</v>
      </c>
      <c r="E7" s="165" t="s">
        <v>398</v>
      </c>
      <c r="F7" s="165" t="s">
        <v>178</v>
      </c>
      <c r="G7" s="181">
        <f t="shared" si="0"/>
        <v>9.9999999999999982</v>
      </c>
      <c r="H7" s="58">
        <v>0</v>
      </c>
      <c r="I7" s="120">
        <v>1</v>
      </c>
      <c r="J7" s="120">
        <v>0.5</v>
      </c>
      <c r="K7" s="120">
        <v>1.07</v>
      </c>
      <c r="L7" s="120">
        <v>0.87</v>
      </c>
      <c r="M7" s="120">
        <v>1.8</v>
      </c>
      <c r="N7" s="120">
        <v>2</v>
      </c>
      <c r="O7" s="120">
        <v>1.46</v>
      </c>
      <c r="P7" s="120">
        <v>0.6</v>
      </c>
      <c r="Q7" s="120">
        <v>0.7</v>
      </c>
    </row>
    <row r="8" spans="1:17" ht="35.25" customHeight="1" x14ac:dyDescent="0.25">
      <c r="A8" s="7" t="s">
        <v>727</v>
      </c>
      <c r="B8" s="7" t="s">
        <v>21</v>
      </c>
      <c r="C8" s="7">
        <v>32</v>
      </c>
      <c r="D8" s="16" t="s">
        <v>634</v>
      </c>
      <c r="E8" s="165" t="s">
        <v>371</v>
      </c>
      <c r="F8" s="165" t="s">
        <v>832</v>
      </c>
      <c r="G8" s="181">
        <f t="shared" si="0"/>
        <v>0</v>
      </c>
      <c r="H8" s="58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</row>
    <row r="9" spans="1:17" ht="35.25" customHeight="1" x14ac:dyDescent="0.25">
      <c r="A9" s="7" t="s">
        <v>727</v>
      </c>
      <c r="B9" s="7" t="s">
        <v>21</v>
      </c>
      <c r="C9" s="7">
        <v>32</v>
      </c>
      <c r="D9" s="16" t="s">
        <v>634</v>
      </c>
      <c r="E9" s="165" t="s">
        <v>484</v>
      </c>
      <c r="F9" s="165" t="s">
        <v>180</v>
      </c>
      <c r="G9" s="181">
        <f t="shared" si="0"/>
        <v>0.56999999999999995</v>
      </c>
      <c r="H9" s="58">
        <v>0</v>
      </c>
      <c r="I9" s="58">
        <v>0.1</v>
      </c>
      <c r="J9" s="58">
        <v>0.05</v>
      </c>
      <c r="K9" s="58">
        <v>7.0000000000000007E-2</v>
      </c>
      <c r="L9" s="58">
        <v>0.03</v>
      </c>
      <c r="M9" s="58">
        <v>0.1</v>
      </c>
      <c r="N9" s="58">
        <v>0.1</v>
      </c>
      <c r="O9" s="58">
        <v>0.05</v>
      </c>
      <c r="P9" s="58">
        <v>0.04</v>
      </c>
      <c r="Q9" s="58">
        <v>0.03</v>
      </c>
    </row>
    <row r="10" spans="1:17" ht="35.25" customHeight="1" x14ac:dyDescent="0.25">
      <c r="A10" s="7" t="s">
        <v>727</v>
      </c>
      <c r="B10" s="7" t="s">
        <v>21</v>
      </c>
      <c r="C10" s="7">
        <v>32</v>
      </c>
      <c r="D10" s="16" t="s">
        <v>634</v>
      </c>
      <c r="E10" s="165" t="s">
        <v>484</v>
      </c>
      <c r="F10" s="165" t="s">
        <v>181</v>
      </c>
      <c r="G10" s="181">
        <f t="shared" si="0"/>
        <v>1.05</v>
      </c>
      <c r="H10" s="58">
        <v>0</v>
      </c>
      <c r="I10" s="58">
        <v>0.1</v>
      </c>
      <c r="J10" s="58">
        <v>0.06</v>
      </c>
      <c r="K10" s="58">
        <v>0.2</v>
      </c>
      <c r="L10" s="58">
        <v>0.09</v>
      </c>
      <c r="M10" s="58">
        <v>0.11</v>
      </c>
      <c r="N10" s="58">
        <v>0.18</v>
      </c>
      <c r="O10" s="58">
        <v>0.14000000000000001</v>
      </c>
      <c r="P10" s="58">
        <v>0.08</v>
      </c>
      <c r="Q10" s="58">
        <v>0.09</v>
      </c>
    </row>
    <row r="11" spans="1:17" ht="35.25" customHeight="1" x14ac:dyDescent="0.25">
      <c r="A11" s="7" t="s">
        <v>727</v>
      </c>
      <c r="B11" s="7" t="s">
        <v>21</v>
      </c>
      <c r="C11" s="7">
        <v>32</v>
      </c>
      <c r="D11" s="16" t="s">
        <v>634</v>
      </c>
      <c r="E11" s="44" t="s">
        <v>400</v>
      </c>
      <c r="F11" s="44" t="s">
        <v>182</v>
      </c>
      <c r="G11" s="181">
        <f t="shared" si="0"/>
        <v>39.9</v>
      </c>
      <c r="H11" s="58">
        <v>39.9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</row>
    <row r="12" spans="1:17" ht="35.25" customHeight="1" x14ac:dyDescent="0.25">
      <c r="A12" s="7" t="s">
        <v>727</v>
      </c>
      <c r="B12" s="7" t="s">
        <v>21</v>
      </c>
      <c r="C12" s="7">
        <v>32</v>
      </c>
      <c r="D12" s="16" t="s">
        <v>634</v>
      </c>
      <c r="E12" s="44" t="s">
        <v>401</v>
      </c>
      <c r="F12" s="44" t="s">
        <v>183</v>
      </c>
      <c r="G12" s="181">
        <f t="shared" si="0"/>
        <v>4.1100000000000003</v>
      </c>
      <c r="H12" s="58">
        <v>4.1100000000000003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</row>
    <row r="13" spans="1:17" ht="35.25" customHeight="1" x14ac:dyDescent="0.25">
      <c r="A13" s="7" t="s">
        <v>727</v>
      </c>
      <c r="B13" s="7" t="s">
        <v>21</v>
      </c>
      <c r="C13" s="7">
        <v>32</v>
      </c>
      <c r="D13" s="16" t="s">
        <v>634</v>
      </c>
      <c r="E13" s="165" t="s">
        <v>371</v>
      </c>
      <c r="F13" s="165" t="s">
        <v>184</v>
      </c>
      <c r="G13" s="181">
        <f t="shared" si="0"/>
        <v>4.37</v>
      </c>
      <c r="H13" s="58">
        <v>0</v>
      </c>
      <c r="I13" s="58">
        <v>0.84</v>
      </c>
      <c r="J13" s="58">
        <v>0.67</v>
      </c>
      <c r="K13" s="58">
        <v>0.5</v>
      </c>
      <c r="L13" s="58">
        <v>0.28999999999999998</v>
      </c>
      <c r="M13" s="58">
        <v>0.49</v>
      </c>
      <c r="N13" s="58">
        <v>0.74</v>
      </c>
      <c r="O13" s="58">
        <v>0.31</v>
      </c>
      <c r="P13" s="58">
        <v>0.25</v>
      </c>
      <c r="Q13" s="58">
        <v>0.28000000000000003</v>
      </c>
    </row>
    <row r="14" spans="1:17" ht="35.25" customHeight="1" x14ac:dyDescent="0.25">
      <c r="A14" s="7" t="s">
        <v>727</v>
      </c>
      <c r="B14" s="7" t="s">
        <v>21</v>
      </c>
      <c r="C14" s="7">
        <v>32</v>
      </c>
      <c r="D14" s="16" t="s">
        <v>634</v>
      </c>
      <c r="E14" s="165" t="s">
        <v>371</v>
      </c>
      <c r="F14" s="165" t="s">
        <v>185</v>
      </c>
      <c r="G14" s="181">
        <f t="shared" si="0"/>
        <v>27.05</v>
      </c>
      <c r="H14" s="58">
        <v>0</v>
      </c>
      <c r="I14" s="161">
        <v>3</v>
      </c>
      <c r="J14" s="161">
        <v>2</v>
      </c>
      <c r="K14" s="161">
        <v>3</v>
      </c>
      <c r="L14" s="161">
        <v>3</v>
      </c>
      <c r="M14" s="161">
        <v>4.05</v>
      </c>
      <c r="N14" s="161">
        <v>3</v>
      </c>
      <c r="O14" s="161">
        <v>3</v>
      </c>
      <c r="P14" s="161">
        <v>3</v>
      </c>
      <c r="Q14" s="161">
        <v>3</v>
      </c>
    </row>
    <row r="15" spans="1:17" s="84" customFormat="1" ht="35.25" customHeight="1" x14ac:dyDescent="0.25">
      <c r="A15" s="7" t="s">
        <v>727</v>
      </c>
      <c r="B15" s="7" t="s">
        <v>21</v>
      </c>
      <c r="C15" s="7">
        <v>32</v>
      </c>
      <c r="D15" s="16" t="s">
        <v>634</v>
      </c>
      <c r="E15" s="165" t="s">
        <v>371</v>
      </c>
      <c r="F15" s="165" t="s">
        <v>186</v>
      </c>
      <c r="G15" s="181">
        <f t="shared" si="0"/>
        <v>18</v>
      </c>
      <c r="H15" s="58">
        <v>0</v>
      </c>
      <c r="I15" s="58">
        <v>2</v>
      </c>
      <c r="J15" s="58">
        <v>2</v>
      </c>
      <c r="K15" s="58">
        <v>2</v>
      </c>
      <c r="L15" s="58">
        <v>2</v>
      </c>
      <c r="M15" s="58">
        <v>2</v>
      </c>
      <c r="N15" s="58">
        <v>2</v>
      </c>
      <c r="O15" s="58">
        <v>2</v>
      </c>
      <c r="P15" s="58">
        <v>2</v>
      </c>
      <c r="Q15" s="58">
        <v>2</v>
      </c>
    </row>
    <row r="16" spans="1:17" ht="35.25" customHeight="1" x14ac:dyDescent="0.25">
      <c r="A16" s="7" t="s">
        <v>727</v>
      </c>
      <c r="B16" s="7" t="s">
        <v>21</v>
      </c>
      <c r="C16" s="7">
        <v>32</v>
      </c>
      <c r="D16" s="16" t="s">
        <v>634</v>
      </c>
      <c r="E16" s="165" t="s">
        <v>371</v>
      </c>
      <c r="F16" s="165" t="s">
        <v>187</v>
      </c>
      <c r="G16" s="181">
        <f t="shared" si="0"/>
        <v>3.08</v>
      </c>
      <c r="H16" s="58">
        <v>0.5</v>
      </c>
      <c r="I16" s="58">
        <v>0.31</v>
      </c>
      <c r="J16" s="58">
        <v>0.27</v>
      </c>
      <c r="K16" s="58">
        <v>0.34</v>
      </c>
      <c r="L16" s="58">
        <v>0.26</v>
      </c>
      <c r="M16" s="58">
        <v>0.27</v>
      </c>
      <c r="N16" s="58">
        <v>0.34</v>
      </c>
      <c r="O16" s="58">
        <v>0.28999999999999998</v>
      </c>
      <c r="P16" s="58">
        <v>0.24</v>
      </c>
      <c r="Q16" s="58">
        <v>0.26</v>
      </c>
    </row>
    <row r="17" spans="1:17" ht="35.25" customHeight="1" x14ac:dyDescent="0.25">
      <c r="A17" s="7" t="s">
        <v>727</v>
      </c>
      <c r="B17" s="7" t="s">
        <v>21</v>
      </c>
      <c r="C17" s="7">
        <v>32</v>
      </c>
      <c r="D17" s="16" t="s">
        <v>634</v>
      </c>
      <c r="E17" s="165" t="s">
        <v>464</v>
      </c>
      <c r="F17" s="165" t="s">
        <v>188</v>
      </c>
      <c r="G17" s="181">
        <f t="shared" si="0"/>
        <v>0.38</v>
      </c>
      <c r="H17" s="58">
        <v>0</v>
      </c>
      <c r="I17" s="58">
        <v>0.06</v>
      </c>
      <c r="J17" s="58">
        <v>0.04</v>
      </c>
      <c r="K17" s="58">
        <v>0.06</v>
      </c>
      <c r="L17" s="58">
        <v>0.03</v>
      </c>
      <c r="M17" s="58">
        <v>0.04</v>
      </c>
      <c r="N17" s="58">
        <v>0.06</v>
      </c>
      <c r="O17" s="58">
        <v>0.04</v>
      </c>
      <c r="P17" s="58">
        <v>0.02</v>
      </c>
      <c r="Q17" s="58">
        <v>0.03</v>
      </c>
    </row>
    <row r="18" spans="1:17" ht="35.25" customHeight="1" x14ac:dyDescent="0.25">
      <c r="A18" s="7" t="s">
        <v>727</v>
      </c>
      <c r="B18" s="7" t="s">
        <v>21</v>
      </c>
      <c r="C18" s="7">
        <v>32</v>
      </c>
      <c r="D18" s="16" t="s">
        <v>634</v>
      </c>
      <c r="E18" s="165" t="s">
        <v>464</v>
      </c>
      <c r="F18" s="165" t="s">
        <v>189</v>
      </c>
      <c r="G18" s="181">
        <f t="shared" si="0"/>
        <v>0.87</v>
      </c>
      <c r="H18" s="58">
        <v>0</v>
      </c>
      <c r="I18" s="58">
        <v>0.1</v>
      </c>
      <c r="J18" s="58">
        <v>0.06</v>
      </c>
      <c r="K18" s="58">
        <v>0.15</v>
      </c>
      <c r="L18" s="58">
        <v>0.08</v>
      </c>
      <c r="M18" s="58">
        <v>0.09</v>
      </c>
      <c r="N18" s="58">
        <v>0.14000000000000001</v>
      </c>
      <c r="O18" s="58">
        <v>0.11</v>
      </c>
      <c r="P18" s="58">
        <v>0.06</v>
      </c>
      <c r="Q18" s="58">
        <v>0.08</v>
      </c>
    </row>
    <row r="19" spans="1:17" ht="35.25" customHeight="1" x14ac:dyDescent="0.25">
      <c r="A19" s="7" t="s">
        <v>727</v>
      </c>
      <c r="B19" s="7" t="s">
        <v>21</v>
      </c>
      <c r="C19" s="7">
        <v>32</v>
      </c>
      <c r="D19" s="16" t="s">
        <v>634</v>
      </c>
      <c r="E19" s="165" t="s">
        <v>464</v>
      </c>
      <c r="F19" s="165" t="s">
        <v>190</v>
      </c>
      <c r="G19" s="181">
        <f t="shared" si="0"/>
        <v>1.62</v>
      </c>
      <c r="H19" s="58">
        <v>1.62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</row>
    <row r="20" spans="1:17" ht="35.25" customHeight="1" x14ac:dyDescent="0.25">
      <c r="A20" s="7" t="s">
        <v>727</v>
      </c>
      <c r="B20" s="7" t="s">
        <v>21</v>
      </c>
      <c r="C20" s="7">
        <v>32</v>
      </c>
      <c r="D20" s="16" t="s">
        <v>634</v>
      </c>
      <c r="E20" s="165" t="s">
        <v>464</v>
      </c>
      <c r="F20" s="165" t="s">
        <v>191</v>
      </c>
      <c r="G20" s="181">
        <f t="shared" si="0"/>
        <v>1.98</v>
      </c>
      <c r="H20" s="58">
        <v>0</v>
      </c>
      <c r="I20" s="58">
        <v>0.22</v>
      </c>
      <c r="J20" s="58">
        <v>0.22</v>
      </c>
      <c r="K20" s="58">
        <v>0.22</v>
      </c>
      <c r="L20" s="58">
        <v>0.22</v>
      </c>
      <c r="M20" s="58">
        <v>0.22</v>
      </c>
      <c r="N20" s="58">
        <v>0.22</v>
      </c>
      <c r="O20" s="58">
        <v>0.22</v>
      </c>
      <c r="P20" s="58">
        <v>0.22</v>
      </c>
      <c r="Q20" s="58">
        <v>0.22</v>
      </c>
    </row>
    <row r="21" spans="1:17" ht="35.25" customHeight="1" x14ac:dyDescent="0.25">
      <c r="A21" s="7" t="s">
        <v>727</v>
      </c>
      <c r="B21" s="7" t="s">
        <v>21</v>
      </c>
      <c r="C21" s="7">
        <v>32</v>
      </c>
      <c r="D21" s="16" t="s">
        <v>634</v>
      </c>
      <c r="E21" s="165" t="s">
        <v>464</v>
      </c>
      <c r="F21" s="165" t="s">
        <v>192</v>
      </c>
      <c r="G21" s="181">
        <f t="shared" si="0"/>
        <v>3.6299999999999994</v>
      </c>
      <c r="H21" s="58">
        <v>0</v>
      </c>
      <c r="I21" s="58">
        <v>0.42</v>
      </c>
      <c r="J21" s="58">
        <v>0.21</v>
      </c>
      <c r="K21" s="58">
        <v>0.68</v>
      </c>
      <c r="L21" s="58">
        <v>0.32</v>
      </c>
      <c r="M21" s="58">
        <v>0.37</v>
      </c>
      <c r="N21" s="58">
        <v>0.63</v>
      </c>
      <c r="O21" s="58">
        <v>0.47</v>
      </c>
      <c r="P21" s="58">
        <v>0.21</v>
      </c>
      <c r="Q21" s="58">
        <v>0.32</v>
      </c>
    </row>
    <row r="22" spans="1:17" ht="35.25" customHeight="1" x14ac:dyDescent="0.25">
      <c r="A22" s="7" t="s">
        <v>727</v>
      </c>
      <c r="B22" s="7" t="s">
        <v>21</v>
      </c>
      <c r="C22" s="7">
        <v>32</v>
      </c>
      <c r="D22" s="16" t="s">
        <v>634</v>
      </c>
      <c r="E22" s="165" t="s">
        <v>464</v>
      </c>
      <c r="F22" s="165" t="s">
        <v>193</v>
      </c>
      <c r="G22" s="181">
        <f t="shared" si="0"/>
        <v>5.4</v>
      </c>
      <c r="H22" s="58">
        <v>5.4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</row>
    <row r="23" spans="1:17" ht="35.25" customHeight="1" x14ac:dyDescent="0.25">
      <c r="A23" s="7" t="s">
        <v>727</v>
      </c>
      <c r="B23" s="7" t="s">
        <v>21</v>
      </c>
      <c r="C23" s="7">
        <v>32</v>
      </c>
      <c r="D23" s="16" t="s">
        <v>634</v>
      </c>
      <c r="E23" s="165" t="s">
        <v>464</v>
      </c>
      <c r="F23" s="165" t="s">
        <v>194</v>
      </c>
      <c r="G23" s="181">
        <f t="shared" si="0"/>
        <v>27</v>
      </c>
      <c r="H23" s="58">
        <v>0</v>
      </c>
      <c r="I23" s="58">
        <v>3</v>
      </c>
      <c r="J23" s="58">
        <v>3</v>
      </c>
      <c r="K23" s="58">
        <v>3</v>
      </c>
      <c r="L23" s="58">
        <v>3</v>
      </c>
      <c r="M23" s="58">
        <v>3</v>
      </c>
      <c r="N23" s="58">
        <v>3</v>
      </c>
      <c r="O23" s="58">
        <v>3</v>
      </c>
      <c r="P23" s="58">
        <v>3</v>
      </c>
      <c r="Q23" s="58">
        <v>3</v>
      </c>
    </row>
    <row r="24" spans="1:17" ht="35.25" customHeight="1" x14ac:dyDescent="0.25">
      <c r="A24" s="7" t="s">
        <v>727</v>
      </c>
      <c r="B24" s="7" t="s">
        <v>21</v>
      </c>
      <c r="C24" s="7">
        <v>32</v>
      </c>
      <c r="D24" s="16" t="s">
        <v>634</v>
      </c>
      <c r="E24" s="165" t="s">
        <v>483</v>
      </c>
      <c r="F24" s="165" t="s">
        <v>833</v>
      </c>
      <c r="G24" s="181">
        <f t="shared" si="0"/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</row>
    <row r="25" spans="1:17" ht="35.25" customHeight="1" x14ac:dyDescent="0.25">
      <c r="A25" s="7" t="s">
        <v>727</v>
      </c>
      <c r="B25" s="7" t="s">
        <v>21</v>
      </c>
      <c r="C25" s="7">
        <v>32</v>
      </c>
      <c r="D25" s="16" t="s">
        <v>634</v>
      </c>
      <c r="E25" s="165" t="s">
        <v>401</v>
      </c>
      <c r="F25" s="165" t="s">
        <v>635</v>
      </c>
      <c r="G25" s="181">
        <f t="shared" si="0"/>
        <v>0.86</v>
      </c>
      <c r="H25" s="58">
        <v>0.86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</row>
    <row r="26" spans="1:17" ht="35.25" customHeight="1" x14ac:dyDescent="0.25">
      <c r="A26" s="7" t="s">
        <v>727</v>
      </c>
      <c r="B26" s="7" t="s">
        <v>21</v>
      </c>
      <c r="C26" s="7">
        <v>32</v>
      </c>
      <c r="D26" s="16" t="s">
        <v>634</v>
      </c>
      <c r="E26" s="165" t="s">
        <v>371</v>
      </c>
      <c r="F26" s="165" t="s">
        <v>834</v>
      </c>
      <c r="G26" s="181">
        <f t="shared" si="0"/>
        <v>4.58</v>
      </c>
      <c r="H26" s="58">
        <v>4.58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</row>
    <row r="27" spans="1:17" ht="35.25" customHeight="1" x14ac:dyDescent="0.25">
      <c r="A27" s="7" t="s">
        <v>727</v>
      </c>
      <c r="B27" s="7" t="s">
        <v>21</v>
      </c>
      <c r="C27" s="7">
        <v>33</v>
      </c>
      <c r="D27" s="16" t="s">
        <v>485</v>
      </c>
      <c r="E27" s="165" t="s">
        <v>371</v>
      </c>
      <c r="F27" s="66" t="s">
        <v>175</v>
      </c>
      <c r="G27" s="181">
        <f t="shared" si="0"/>
        <v>25.9</v>
      </c>
      <c r="H27" s="58">
        <v>25.9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</row>
    <row r="28" spans="1:17" ht="47.25" x14ac:dyDescent="0.25">
      <c r="A28" s="7" t="s">
        <v>727</v>
      </c>
      <c r="B28" s="7" t="s">
        <v>21</v>
      </c>
      <c r="C28" s="7">
        <v>34</v>
      </c>
      <c r="D28" s="16" t="s">
        <v>672</v>
      </c>
      <c r="E28" s="166" t="s">
        <v>397</v>
      </c>
      <c r="F28" s="66" t="s">
        <v>646</v>
      </c>
      <c r="G28" s="181">
        <f t="shared" si="0"/>
        <v>2.15</v>
      </c>
      <c r="H28" s="282">
        <v>2.15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</row>
    <row r="29" spans="1:17" ht="47.25" x14ac:dyDescent="0.25">
      <c r="A29" s="7" t="s">
        <v>727</v>
      </c>
      <c r="B29" s="7" t="s">
        <v>21</v>
      </c>
      <c r="C29" s="7">
        <v>34</v>
      </c>
      <c r="D29" s="16" t="s">
        <v>672</v>
      </c>
      <c r="E29" s="166" t="s">
        <v>397</v>
      </c>
      <c r="F29" s="66" t="s">
        <v>647</v>
      </c>
      <c r="G29" s="181">
        <f t="shared" si="0"/>
        <v>2.0299999999999998</v>
      </c>
      <c r="H29" s="282">
        <v>2.0299999999999998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</row>
    <row r="30" spans="1:17" ht="47.25" x14ac:dyDescent="0.25">
      <c r="A30" s="7" t="s">
        <v>727</v>
      </c>
      <c r="B30" s="7" t="s">
        <v>21</v>
      </c>
      <c r="C30" s="7">
        <v>34</v>
      </c>
      <c r="D30" s="16" t="s">
        <v>672</v>
      </c>
      <c r="E30" s="166" t="s">
        <v>397</v>
      </c>
      <c r="F30" s="66" t="s">
        <v>648</v>
      </c>
      <c r="G30" s="181">
        <f t="shared" si="0"/>
        <v>0.7</v>
      </c>
      <c r="H30" s="282">
        <v>0.7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</row>
    <row r="31" spans="1:17" ht="47.25" x14ac:dyDescent="0.25">
      <c r="A31" s="7" t="s">
        <v>727</v>
      </c>
      <c r="B31" s="7" t="s">
        <v>21</v>
      </c>
      <c r="C31" s="7">
        <v>34</v>
      </c>
      <c r="D31" s="16" t="s">
        <v>672</v>
      </c>
      <c r="E31" s="166" t="s">
        <v>397</v>
      </c>
      <c r="F31" s="66" t="s">
        <v>678</v>
      </c>
      <c r="G31" s="181">
        <f t="shared" si="0"/>
        <v>0.3</v>
      </c>
      <c r="H31" s="282">
        <v>0.3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</row>
    <row r="32" spans="1:17" ht="47.25" x14ac:dyDescent="0.25">
      <c r="A32" s="7" t="s">
        <v>727</v>
      </c>
      <c r="B32" s="7" t="s">
        <v>21</v>
      </c>
      <c r="C32" s="7">
        <v>34</v>
      </c>
      <c r="D32" s="16" t="s">
        <v>672</v>
      </c>
      <c r="E32" s="166" t="s">
        <v>397</v>
      </c>
      <c r="F32" s="66" t="s">
        <v>679</v>
      </c>
      <c r="G32" s="181">
        <f t="shared" si="0"/>
        <v>7.0000000000000007E-2</v>
      </c>
      <c r="H32" s="282">
        <v>7.0000000000000007E-2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</row>
    <row r="33" spans="1:18" ht="47.25" x14ac:dyDescent="0.25">
      <c r="A33" s="7" t="s">
        <v>727</v>
      </c>
      <c r="B33" s="7" t="s">
        <v>21</v>
      </c>
      <c r="C33" s="7">
        <v>34</v>
      </c>
      <c r="D33" s="16" t="s">
        <v>672</v>
      </c>
      <c r="E33" s="166" t="s">
        <v>397</v>
      </c>
      <c r="F33" s="66" t="s">
        <v>680</v>
      </c>
      <c r="G33" s="181">
        <f t="shared" si="0"/>
        <v>0.21</v>
      </c>
      <c r="H33" s="282">
        <v>0.21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</row>
    <row r="34" spans="1:18" ht="35.25" customHeight="1" x14ac:dyDescent="0.25">
      <c r="A34" s="7" t="s">
        <v>727</v>
      </c>
      <c r="B34" s="7" t="s">
        <v>21</v>
      </c>
      <c r="C34" s="7">
        <v>34</v>
      </c>
      <c r="D34" s="16" t="s">
        <v>672</v>
      </c>
      <c r="E34" s="166" t="s">
        <v>371</v>
      </c>
      <c r="F34" s="66" t="s">
        <v>835</v>
      </c>
      <c r="G34" s="181">
        <f t="shared" si="0"/>
        <v>45.36</v>
      </c>
      <c r="H34" s="282">
        <v>45.36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</row>
    <row r="35" spans="1:18" ht="35.25" customHeight="1" x14ac:dyDescent="0.25">
      <c r="A35" s="7" t="s">
        <v>727</v>
      </c>
      <c r="B35" s="7" t="s">
        <v>21</v>
      </c>
      <c r="C35" s="7">
        <v>34</v>
      </c>
      <c r="D35" s="16" t="s">
        <v>672</v>
      </c>
      <c r="E35" s="166" t="s">
        <v>401</v>
      </c>
      <c r="F35" s="66" t="s">
        <v>649</v>
      </c>
      <c r="G35" s="181">
        <f t="shared" si="0"/>
        <v>0.5</v>
      </c>
      <c r="H35" s="282">
        <v>0.5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</row>
    <row r="36" spans="1:18" ht="35.25" customHeight="1" x14ac:dyDescent="0.25">
      <c r="A36" s="7" t="s">
        <v>720</v>
      </c>
      <c r="B36" s="7" t="s">
        <v>630</v>
      </c>
      <c r="C36" s="7">
        <v>55</v>
      </c>
      <c r="D36" s="16" t="s">
        <v>654</v>
      </c>
      <c r="E36" s="16" t="s">
        <v>483</v>
      </c>
      <c r="F36" s="16" t="s">
        <v>179</v>
      </c>
      <c r="G36" s="181">
        <f t="shared" si="0"/>
        <v>10.76</v>
      </c>
      <c r="H36" s="282">
        <v>10.76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</row>
    <row r="37" spans="1:18" s="14" customFormat="1" ht="36" customHeight="1" x14ac:dyDescent="0.25">
      <c r="E37" s="40" t="s">
        <v>15</v>
      </c>
      <c r="F37" s="40"/>
      <c r="G37" s="41">
        <f t="shared" ref="G37:Q37" si="1">SUM(G4:G36)</f>
        <v>278.51000000000005</v>
      </c>
      <c r="H37" s="41">
        <f t="shared" si="1"/>
        <v>144.94999999999999</v>
      </c>
      <c r="I37" s="41">
        <f t="shared" si="1"/>
        <v>16.170000000000002</v>
      </c>
      <c r="J37" s="41">
        <f t="shared" si="1"/>
        <v>13.43</v>
      </c>
      <c r="K37" s="41">
        <f t="shared" si="1"/>
        <v>15.010000000000002</v>
      </c>
      <c r="L37" s="41">
        <f t="shared" si="1"/>
        <v>13.56</v>
      </c>
      <c r="M37" s="41">
        <f t="shared" si="1"/>
        <v>16.279999999999998</v>
      </c>
      <c r="N37" s="41">
        <f t="shared" si="1"/>
        <v>17.630000000000003</v>
      </c>
      <c r="O37" s="41">
        <f t="shared" si="1"/>
        <v>14.809999999999999</v>
      </c>
      <c r="P37" s="41">
        <f t="shared" si="1"/>
        <v>13.050000000000002</v>
      </c>
      <c r="Q37" s="41">
        <f t="shared" si="1"/>
        <v>13.620000000000001</v>
      </c>
      <c r="R37" s="109"/>
    </row>
  </sheetData>
  <autoFilter ref="A3:Q37" xr:uid="{068F97BA-6F15-4C7A-B54A-136AC7F4364B}">
    <sortState xmlns:xlrd2="http://schemas.microsoft.com/office/spreadsheetml/2017/richdata2" ref="A4:Q37">
      <sortCondition ref="C3:C37"/>
    </sortState>
  </autoFilter>
  <mergeCells count="1">
    <mergeCell ref="A1:G1"/>
  </mergeCells>
  <phoneticPr fontId="15" type="noConversion"/>
  <pageMargins left="0.25" right="0.25" top="0.75" bottom="0.75" header="0.3" footer="0.3"/>
  <pageSetup paperSize="5" scale="57" fitToHeight="9" orientation="landscape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S9"/>
  <sheetViews>
    <sheetView view="pageBreakPreview" zoomScaleSheetLayoutView="100" workbookViewId="0">
      <selection activeCell="G4" sqref="G4:G5"/>
    </sheetView>
  </sheetViews>
  <sheetFormatPr defaultColWidth="9.140625" defaultRowHeight="15" x14ac:dyDescent="0.25"/>
  <cols>
    <col min="1" max="1" width="9.140625" style="27" customWidth="1"/>
    <col min="2" max="2" width="18.140625" style="27" customWidth="1"/>
    <col min="3" max="3" width="5.140625" style="27" bestFit="1" customWidth="1"/>
    <col min="4" max="4" width="19.28515625" style="28" customWidth="1"/>
    <col min="5" max="5" width="23" style="28" customWidth="1"/>
    <col min="6" max="6" width="41.7109375" style="23" customWidth="1"/>
    <col min="7" max="7" width="12.140625" style="30" customWidth="1"/>
    <col min="8" max="17" width="12.140625" style="22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0" t="s">
        <v>850</v>
      </c>
      <c r="B1" s="338"/>
      <c r="C1" s="338"/>
      <c r="D1" s="338"/>
      <c r="E1" s="338"/>
      <c r="F1" s="338"/>
      <c r="G1" s="338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9" s="21" customFormat="1" ht="55.5" customHeight="1" x14ac:dyDescent="0.25">
      <c r="A2" s="36" t="s">
        <v>0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21" customFormat="1" ht="17.25" customHeight="1" x14ac:dyDescent="0.25">
      <c r="A3" s="36"/>
      <c r="B3" s="36"/>
      <c r="C3" s="36"/>
      <c r="D3" s="37"/>
      <c r="E3" s="36"/>
      <c r="F3" s="36"/>
      <c r="G3" s="38"/>
      <c r="H3" s="29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</row>
    <row r="4" spans="1:19" ht="33" customHeight="1" x14ac:dyDescent="0.25">
      <c r="A4" s="7" t="s">
        <v>737</v>
      </c>
      <c r="B4" s="7" t="s">
        <v>738</v>
      </c>
      <c r="C4" s="7">
        <v>19</v>
      </c>
      <c r="D4" s="11" t="s">
        <v>738</v>
      </c>
      <c r="E4" s="11" t="s">
        <v>564</v>
      </c>
      <c r="F4" s="10" t="s">
        <v>116</v>
      </c>
      <c r="G4" s="12">
        <f>SUM(H4:Q4)</f>
        <v>5.59</v>
      </c>
      <c r="H4" s="12">
        <v>5.59</v>
      </c>
      <c r="I4" s="2"/>
      <c r="J4" s="2"/>
      <c r="K4" s="2"/>
      <c r="L4" s="2"/>
      <c r="M4" s="2"/>
      <c r="N4" s="2"/>
      <c r="O4" s="2"/>
      <c r="P4" s="2"/>
      <c r="Q4" s="2"/>
    </row>
    <row r="5" spans="1:19" ht="33" customHeight="1" x14ac:dyDescent="0.25">
      <c r="A5" s="7" t="s">
        <v>737</v>
      </c>
      <c r="B5" s="7" t="s">
        <v>738</v>
      </c>
      <c r="C5" s="7">
        <v>19</v>
      </c>
      <c r="D5" s="11" t="s">
        <v>738</v>
      </c>
      <c r="E5" s="11" t="s">
        <v>401</v>
      </c>
      <c r="F5" s="10" t="s">
        <v>117</v>
      </c>
      <c r="G5" s="12">
        <f>SUM(H5:Q5)</f>
        <v>1.38</v>
      </c>
      <c r="H5" s="12">
        <v>1.38</v>
      </c>
      <c r="I5" s="2"/>
      <c r="J5" s="2"/>
      <c r="K5" s="2"/>
      <c r="L5" s="2"/>
      <c r="M5" s="2"/>
      <c r="N5" s="2"/>
      <c r="O5" s="2"/>
      <c r="P5" s="2"/>
      <c r="Q5" s="2"/>
    </row>
    <row r="6" spans="1:19" ht="75" x14ac:dyDescent="0.25">
      <c r="A6" s="7" t="s">
        <v>737</v>
      </c>
      <c r="B6" s="7" t="s">
        <v>738</v>
      </c>
      <c r="C6" s="7">
        <v>20</v>
      </c>
      <c r="D6" s="11" t="s">
        <v>1001</v>
      </c>
      <c r="E6" s="11" t="s">
        <v>372</v>
      </c>
      <c r="F6" s="10" t="s">
        <v>971</v>
      </c>
      <c r="G6" s="12">
        <f t="shared" ref="G6" si="0">SUM(H6:Q6)</f>
        <v>1.1499999999999999</v>
      </c>
      <c r="H6" s="12">
        <v>1.1499999999999999</v>
      </c>
      <c r="I6" s="2"/>
      <c r="J6" s="2"/>
      <c r="K6" s="2"/>
      <c r="L6" s="2"/>
      <c r="M6" s="2"/>
      <c r="N6" s="2"/>
      <c r="O6" s="2"/>
      <c r="P6" s="2"/>
      <c r="Q6" s="2"/>
    </row>
    <row r="7" spans="1:19" s="32" customFormat="1" ht="30" customHeight="1" x14ac:dyDescent="0.25">
      <c r="A7" s="14"/>
      <c r="B7" s="14"/>
      <c r="C7" s="14"/>
      <c r="D7" s="31"/>
      <c r="E7" s="31"/>
      <c r="F7" s="31" t="s">
        <v>15</v>
      </c>
      <c r="G7" s="12">
        <f t="shared" ref="G7:Q7" si="1">SUM(G4:G6)</f>
        <v>8.1199999999999992</v>
      </c>
      <c r="H7" s="12">
        <f t="shared" si="1"/>
        <v>8.1199999999999992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12">
        <f t="shared" si="1"/>
        <v>0</v>
      </c>
      <c r="R7" s="22"/>
      <c r="S7" s="12"/>
    </row>
    <row r="8" spans="1:19" s="27" customFormat="1" x14ac:dyDescent="0.25">
      <c r="D8" s="28"/>
      <c r="E8" s="28"/>
      <c r="F8" s="23"/>
      <c r="G8" s="26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27" customFormat="1" x14ac:dyDescent="0.25">
      <c r="D9" s="28"/>
      <c r="E9" s="28"/>
      <c r="F9" s="23"/>
      <c r="G9" s="2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</sheetData>
  <autoFilter ref="A3:Q3" xr:uid="{00000000-0001-0000-0A00-000000000000}">
    <sortState xmlns:xlrd2="http://schemas.microsoft.com/office/spreadsheetml/2017/richdata2" ref="A4:Q6">
      <sortCondition ref="C3"/>
    </sortState>
  </autoFilter>
  <mergeCells count="1">
    <mergeCell ref="A1:G1"/>
  </mergeCells>
  <phoneticPr fontId="15" type="noConversion"/>
  <pageMargins left="0.7" right="0.7" top="0.75" bottom="0.75" header="0.3" footer="0.3"/>
  <pageSetup paperSize="5" scale="64" fitToHeight="3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08CF-5A4C-4E43-97E4-A381BFEDC896}">
  <sheetPr>
    <tabColor rgb="FFFF0000"/>
    <pageSetUpPr fitToPage="1"/>
  </sheetPr>
  <dimension ref="A1:S10"/>
  <sheetViews>
    <sheetView view="pageBreakPreview" topLeftCell="C1" zoomScale="110" zoomScaleSheetLayoutView="140" workbookViewId="0">
      <selection activeCell="I6" sqref="I6"/>
    </sheetView>
  </sheetViews>
  <sheetFormatPr defaultColWidth="9.140625" defaultRowHeight="15" x14ac:dyDescent="0.25"/>
  <cols>
    <col min="1" max="1" width="9.140625" style="27" customWidth="1"/>
    <col min="2" max="2" width="18.140625" style="27" customWidth="1"/>
    <col min="3" max="3" width="5.140625" style="27" bestFit="1" customWidth="1"/>
    <col min="4" max="4" width="22.42578125" style="28" customWidth="1"/>
    <col min="5" max="5" width="23" style="28" customWidth="1"/>
    <col min="6" max="6" width="41.7109375" style="23" customWidth="1"/>
    <col min="7" max="7" width="12.140625" style="26" customWidth="1"/>
    <col min="8" max="17" width="12.140625" style="33" customWidth="1"/>
    <col min="18" max="18" width="6.7109375" style="22" customWidth="1"/>
    <col min="19" max="19" width="9.140625" style="22"/>
    <col min="20" max="16384" width="9.140625" style="23"/>
  </cols>
  <sheetData>
    <row r="1" spans="1:19" ht="24" customHeight="1" x14ac:dyDescent="0.25">
      <c r="A1" s="340"/>
      <c r="B1" s="338"/>
      <c r="C1" s="338"/>
      <c r="D1" s="338"/>
      <c r="E1" s="338"/>
      <c r="F1" s="338"/>
      <c r="G1" s="338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1"/>
    </row>
    <row r="2" spans="1:19" s="21" customFormat="1" ht="55.5" customHeight="1" x14ac:dyDescent="0.25">
      <c r="A2" s="36" t="s">
        <v>0</v>
      </c>
      <c r="B2" s="36" t="s">
        <v>18</v>
      </c>
      <c r="C2" s="36" t="s">
        <v>17</v>
      </c>
      <c r="D2" s="36" t="s">
        <v>486</v>
      </c>
      <c r="E2" s="36" t="s">
        <v>487</v>
      </c>
      <c r="F2" s="36" t="s">
        <v>988</v>
      </c>
      <c r="G2" s="38" t="s">
        <v>836</v>
      </c>
      <c r="H2" s="29" t="s">
        <v>3</v>
      </c>
      <c r="I2" s="25" t="s">
        <v>4</v>
      </c>
      <c r="J2" s="25" t="s">
        <v>5</v>
      </c>
      <c r="K2" s="25" t="s">
        <v>6</v>
      </c>
      <c r="L2" s="25" t="s">
        <v>7</v>
      </c>
      <c r="M2" s="25" t="s">
        <v>8</v>
      </c>
      <c r="N2" s="25" t="s">
        <v>9</v>
      </c>
      <c r="O2" s="25" t="s">
        <v>10</v>
      </c>
      <c r="P2" s="25" t="s">
        <v>11</v>
      </c>
      <c r="Q2" s="25" t="s">
        <v>12</v>
      </c>
      <c r="R2" s="26"/>
      <c r="S2" s="26"/>
    </row>
    <row r="3" spans="1:19" s="21" customFormat="1" ht="17.25" customHeight="1" x14ac:dyDescent="0.25">
      <c r="A3" s="36"/>
      <c r="B3" s="36"/>
      <c r="C3" s="36"/>
      <c r="D3" s="37"/>
      <c r="E3" s="36"/>
      <c r="F3" s="36"/>
      <c r="G3" s="38"/>
      <c r="H3" s="29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</row>
    <row r="4" spans="1:19" s="72" customFormat="1" ht="33" customHeight="1" x14ac:dyDescent="0.25">
      <c r="A4" s="68" t="s">
        <v>723</v>
      </c>
      <c r="B4" s="68" t="s">
        <v>724</v>
      </c>
      <c r="C4" s="68">
        <v>194</v>
      </c>
      <c r="D4" s="16" t="s">
        <v>435</v>
      </c>
      <c r="E4" s="16" t="s">
        <v>464</v>
      </c>
      <c r="F4" s="17" t="s">
        <v>92</v>
      </c>
      <c r="G4" s="41">
        <f t="shared" ref="G4:G5" si="0">SUM(H4:Q4)</f>
        <v>0</v>
      </c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9" s="72" customFormat="1" ht="33" customHeight="1" x14ac:dyDescent="0.25">
      <c r="A5" s="68" t="s">
        <v>723</v>
      </c>
      <c r="B5" s="68" t="s">
        <v>724</v>
      </c>
      <c r="C5" s="68">
        <v>194</v>
      </c>
      <c r="D5" s="16" t="s">
        <v>435</v>
      </c>
      <c r="E5" s="16" t="s">
        <v>371</v>
      </c>
      <c r="F5" s="17" t="s">
        <v>823</v>
      </c>
      <c r="G5" s="41">
        <f t="shared" si="0"/>
        <v>0</v>
      </c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9" ht="33" customHeight="1" x14ac:dyDescent="0.25">
      <c r="A6" s="7" t="s">
        <v>723</v>
      </c>
      <c r="B6" s="7" t="s">
        <v>724</v>
      </c>
      <c r="C6" s="7">
        <v>194</v>
      </c>
      <c r="D6" s="11" t="s">
        <v>435</v>
      </c>
      <c r="E6" s="16" t="s">
        <v>371</v>
      </c>
      <c r="F6" s="10" t="s">
        <v>935</v>
      </c>
      <c r="G6" s="29">
        <f>SUM(H6:Q6)</f>
        <v>0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33" customHeight="1" x14ac:dyDescent="0.25">
      <c r="B7" s="7"/>
      <c r="C7" s="7">
        <v>195</v>
      </c>
      <c r="D7" s="11" t="s">
        <v>435</v>
      </c>
      <c r="E7" s="16" t="s">
        <v>464</v>
      </c>
      <c r="F7" s="10" t="s">
        <v>934</v>
      </c>
      <c r="G7" s="29">
        <f>SUM(H7:Q7)</f>
        <v>0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s="32" customFormat="1" ht="30" customHeight="1" x14ac:dyDescent="0.25">
      <c r="A8" s="21"/>
      <c r="B8" s="14"/>
      <c r="C8" s="14"/>
      <c r="D8" s="31"/>
      <c r="E8" s="31"/>
      <c r="F8" s="31" t="s">
        <v>15</v>
      </c>
      <c r="G8" s="29">
        <f>SUM(G4:G7)</f>
        <v>0</v>
      </c>
      <c r="H8" s="29">
        <f t="shared" ref="H8:Q8" si="1">SUM(H4:H7)</f>
        <v>0</v>
      </c>
      <c r="I8" s="29">
        <f t="shared" si="1"/>
        <v>0</v>
      </c>
      <c r="J8" s="29">
        <f t="shared" si="1"/>
        <v>0</v>
      </c>
      <c r="K8" s="29">
        <f t="shared" si="1"/>
        <v>0</v>
      </c>
      <c r="L8" s="29">
        <f t="shared" si="1"/>
        <v>0</v>
      </c>
      <c r="M8" s="29">
        <f t="shared" si="1"/>
        <v>0</v>
      </c>
      <c r="N8" s="29">
        <f t="shared" si="1"/>
        <v>0</v>
      </c>
      <c r="O8" s="29">
        <f t="shared" si="1"/>
        <v>0</v>
      </c>
      <c r="P8" s="29">
        <f t="shared" si="1"/>
        <v>0</v>
      </c>
      <c r="Q8" s="29">
        <f t="shared" si="1"/>
        <v>0</v>
      </c>
      <c r="R8" s="22"/>
      <c r="S8" s="12"/>
    </row>
    <row r="9" spans="1:19" s="27" customFormat="1" x14ac:dyDescent="0.25">
      <c r="D9" s="28"/>
      <c r="E9" s="28"/>
      <c r="F9" s="23"/>
      <c r="G9" s="2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s="27" customFormat="1" x14ac:dyDescent="0.25">
      <c r="D10" s="28"/>
      <c r="E10" s="28"/>
      <c r="F10" s="23"/>
      <c r="G10" s="26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</sheetData>
  <autoFilter ref="A3:Q3" xr:uid="{00000000-0001-0000-0A00-000000000000}">
    <sortState xmlns:xlrd2="http://schemas.microsoft.com/office/spreadsheetml/2017/richdata2" ref="A4:Q6">
      <sortCondition ref="C3"/>
    </sortState>
  </autoFilter>
  <mergeCells count="1">
    <mergeCell ref="A1:G1"/>
  </mergeCells>
  <pageMargins left="0.7" right="0.7" top="0.75" bottom="0.75" header="0.3" footer="0.3"/>
  <pageSetup paperSize="5" scale="63" fitToHeight="3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44</vt:i4>
      </vt:variant>
    </vt:vector>
  </HeadingPairs>
  <TitlesOfParts>
    <vt:vector size="88" baseType="lpstr">
      <vt:lpstr>Poolwise ROP 2024-25</vt:lpstr>
      <vt:lpstr>RE 2024-25</vt:lpstr>
      <vt:lpstr>State &amp; Dist ROP Final</vt:lpstr>
      <vt:lpstr>RCH</vt:lpstr>
      <vt:lpstr>RKSK &amp; SHP</vt:lpstr>
      <vt:lpstr>RBSK</vt:lpstr>
      <vt:lpstr>EPI</vt:lpstr>
      <vt:lpstr>PNDT</vt:lpstr>
      <vt:lpstr>RM OE</vt:lpstr>
      <vt:lpstr>NIDDCP</vt:lpstr>
      <vt:lpstr>CPHC</vt:lpstr>
      <vt:lpstr>CP &amp; Untied Funds</vt:lpstr>
      <vt:lpstr>CEA </vt:lpstr>
      <vt:lpstr>Training</vt:lpstr>
      <vt:lpstr>IEC</vt:lpstr>
      <vt:lpstr>MMU</vt:lpstr>
      <vt:lpstr>NAS</vt:lpstr>
      <vt:lpstr>QA</vt:lpstr>
      <vt:lpstr>M&amp;E</vt:lpstr>
      <vt:lpstr>BMMP</vt:lpstr>
      <vt:lpstr>FDSI</vt:lpstr>
      <vt:lpstr>FDI</vt:lpstr>
      <vt:lpstr>DVDMS</vt:lpstr>
      <vt:lpstr>SBP</vt:lpstr>
      <vt:lpstr>S&amp;DHAP</vt:lpstr>
      <vt:lpstr>SBC</vt:lpstr>
      <vt:lpstr>Grievance</vt:lpstr>
      <vt:lpstr>IDSP</vt:lpstr>
      <vt:lpstr>NVBDCP</vt:lpstr>
      <vt:lpstr>NLEP</vt:lpstr>
      <vt:lpstr>NTEP</vt:lpstr>
      <vt:lpstr>NVHCP</vt:lpstr>
      <vt:lpstr>NRCP</vt:lpstr>
      <vt:lpstr>NPCB&amp;VI</vt:lpstr>
      <vt:lpstr>NMHP</vt:lpstr>
      <vt:lpstr>NPHCE</vt:lpstr>
      <vt:lpstr>NTCP</vt:lpstr>
      <vt:lpstr>NPCDCS</vt:lpstr>
      <vt:lpstr>PMNDP</vt:lpstr>
      <vt:lpstr>Climate Change</vt:lpstr>
      <vt:lpstr>NOHP</vt:lpstr>
      <vt:lpstr>NPPC</vt:lpstr>
      <vt:lpstr>NPPCD</vt:lpstr>
      <vt:lpstr>NUHM</vt:lpstr>
      <vt:lpstr>BMMP!Print_Area</vt:lpstr>
      <vt:lpstr>'CEA '!Print_Area</vt:lpstr>
      <vt:lpstr>'Climate Change'!Print_Area</vt:lpstr>
      <vt:lpstr>'CP &amp; Untied Funds'!Print_Area</vt:lpstr>
      <vt:lpstr>CPHC!Print_Area</vt:lpstr>
      <vt:lpstr>DVDMS!Print_Area</vt:lpstr>
      <vt:lpstr>EPI!Print_Area</vt:lpstr>
      <vt:lpstr>FDI!Print_Area</vt:lpstr>
      <vt:lpstr>FDSI!Print_Area</vt:lpstr>
      <vt:lpstr>Grievance!Print_Area</vt:lpstr>
      <vt:lpstr>IDSP!Print_Area</vt:lpstr>
      <vt:lpstr>IEC!Print_Area</vt:lpstr>
      <vt:lpstr>'M&amp;E'!Print_Area</vt:lpstr>
      <vt:lpstr>MMU!Print_Area</vt:lpstr>
      <vt:lpstr>NAS!Print_Area</vt:lpstr>
      <vt:lpstr>NIDDCP!Print_Area</vt:lpstr>
      <vt:lpstr>NLEP!Print_Area</vt:lpstr>
      <vt:lpstr>NMHP!Print_Area</vt:lpstr>
      <vt:lpstr>NOHP!Print_Area</vt:lpstr>
      <vt:lpstr>'NPCB&amp;VI'!Print_Area</vt:lpstr>
      <vt:lpstr>NPCDCS!Print_Area</vt:lpstr>
      <vt:lpstr>NPHCE!Print_Area</vt:lpstr>
      <vt:lpstr>NPPC!Print_Area</vt:lpstr>
      <vt:lpstr>NPPCD!Print_Area</vt:lpstr>
      <vt:lpstr>NRCP!Print_Area</vt:lpstr>
      <vt:lpstr>NTCP!Print_Area</vt:lpstr>
      <vt:lpstr>NTEP!Print_Area</vt:lpstr>
      <vt:lpstr>NUHM!Print_Area</vt:lpstr>
      <vt:lpstr>NVBDCP!Print_Area</vt:lpstr>
      <vt:lpstr>NVHCP!Print_Area</vt:lpstr>
      <vt:lpstr>PMNDP!Print_Area</vt:lpstr>
      <vt:lpstr>PNDT!Print_Area</vt:lpstr>
      <vt:lpstr>'Poolwise ROP 2024-25'!Print_Area</vt:lpstr>
      <vt:lpstr>RBSK!Print_Area</vt:lpstr>
      <vt:lpstr>RCH!Print_Area</vt:lpstr>
      <vt:lpstr>'RE 2024-25'!Print_Area</vt:lpstr>
      <vt:lpstr>'RKSK &amp; SHP'!Print_Area</vt:lpstr>
      <vt:lpstr>'RM OE'!Print_Area</vt:lpstr>
      <vt:lpstr>'S&amp;DHAP'!Print_Area</vt:lpstr>
      <vt:lpstr>SBC!Print_Area</vt:lpstr>
      <vt:lpstr>SBP!Print_Area</vt:lpstr>
      <vt:lpstr>'State &amp; Dist ROP Final'!Print_Area</vt:lpstr>
      <vt:lpstr>Training!Print_Area</vt:lpstr>
      <vt:lpstr>NVBDCP!Print_Titles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Reuben Tochhawng</cp:lastModifiedBy>
  <cp:lastPrinted>2024-03-22T10:11:30Z</cp:lastPrinted>
  <dcterms:created xsi:type="dcterms:W3CDTF">2019-03-28T07:53:35Z</dcterms:created>
  <dcterms:modified xsi:type="dcterms:W3CDTF">2024-03-26T09:59:59Z</dcterms:modified>
</cp:coreProperties>
</file>